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20490" windowHeight="6465" activeTab="2"/>
  </bookViews>
  <sheets>
    <sheet name="Menu" sheetId="1" r:id="rId1"/>
    <sheet name="Kertas Kerja" sheetId="2" r:id="rId2"/>
    <sheet name="Lap AK Individual" sheetId="3" r:id="rId3"/>
  </sheets>
  <definedNames>
    <definedName name="_xlnm.Print_Area" localSheetId="2">'Lap AK Individual'!$A$1:$E$96</definedName>
    <definedName name="_xlnm.Print_Titles" localSheetId="2">'Lap AK Individual'!$12:$12</definedName>
  </definedNames>
  <calcPr calcId="144525"/>
</workbook>
</file>

<file path=xl/calcChain.xml><?xml version="1.0" encoding="utf-8"?>
<calcChain xmlns="http://schemas.openxmlformats.org/spreadsheetml/2006/main">
  <c r="D96" i="3" l="1"/>
  <c r="D89" i="3"/>
  <c r="D87" i="3"/>
  <c r="B87" i="3"/>
  <c r="D86" i="3"/>
  <c r="B86" i="3"/>
  <c r="D85" i="3"/>
  <c r="B85" i="3"/>
  <c r="D84" i="3"/>
  <c r="B84" i="3"/>
  <c r="D83" i="3"/>
  <c r="B83" i="3"/>
  <c r="E82" i="3"/>
  <c r="H82" i="3" s="1"/>
  <c r="D82" i="3"/>
  <c r="B82" i="3"/>
  <c r="E81" i="3"/>
  <c r="H81" i="3" s="1"/>
  <c r="D81" i="3"/>
  <c r="B81" i="3"/>
  <c r="D80" i="3"/>
  <c r="B80" i="3"/>
  <c r="D79" i="3"/>
  <c r="B79" i="3"/>
  <c r="D78" i="3"/>
  <c r="B78" i="3"/>
  <c r="D77" i="3"/>
  <c r="B77" i="3"/>
  <c r="D76" i="3"/>
  <c r="B76" i="3"/>
  <c r="D75" i="3"/>
  <c r="B75" i="3"/>
  <c r="D74" i="3"/>
  <c r="B74" i="3"/>
  <c r="D73" i="3"/>
  <c r="B73" i="3"/>
  <c r="D72" i="3"/>
  <c r="B72" i="3"/>
  <c r="D71" i="3"/>
  <c r="B71" i="3"/>
  <c r="D70" i="3"/>
  <c r="B70" i="3"/>
  <c r="D69" i="3"/>
  <c r="B69" i="3"/>
  <c r="D68" i="3"/>
  <c r="B68" i="3"/>
  <c r="D67" i="3"/>
  <c r="B67" i="3"/>
  <c r="D66" i="3"/>
  <c r="B66" i="3"/>
  <c r="E65" i="3"/>
  <c r="H65" i="3" s="1"/>
  <c r="D65" i="3"/>
  <c r="B65" i="3"/>
  <c r="D64" i="3"/>
  <c r="B64" i="3"/>
  <c r="D63" i="3"/>
  <c r="B63" i="3"/>
  <c r="D62" i="3"/>
  <c r="B62" i="3"/>
  <c r="D61" i="3"/>
  <c r="B61" i="3"/>
  <c r="D60" i="3"/>
  <c r="B60" i="3"/>
  <c r="D59" i="3"/>
  <c r="B59" i="3"/>
  <c r="D58" i="3"/>
  <c r="B58" i="3"/>
  <c r="D57" i="3"/>
  <c r="B57" i="3"/>
  <c r="D56" i="3"/>
  <c r="B56" i="3"/>
  <c r="D55" i="3"/>
  <c r="B55" i="3"/>
  <c r="D54" i="3"/>
  <c r="B54" i="3"/>
  <c r="D53" i="3"/>
  <c r="B53" i="3"/>
  <c r="D52" i="3"/>
  <c r="B52" i="3"/>
  <c r="D51" i="3"/>
  <c r="B51" i="3"/>
  <c r="D50" i="3"/>
  <c r="B50" i="3"/>
  <c r="D49" i="3"/>
  <c r="B49" i="3"/>
  <c r="D48" i="3"/>
  <c r="B48" i="3"/>
  <c r="D47" i="3"/>
  <c r="B47" i="3"/>
  <c r="D46" i="3"/>
  <c r="B46" i="3"/>
  <c r="D45" i="3"/>
  <c r="B45" i="3"/>
  <c r="D44" i="3"/>
  <c r="B44" i="3"/>
  <c r="E43" i="3"/>
  <c r="H43" i="3" s="1"/>
  <c r="D43" i="3"/>
  <c r="B43" i="3"/>
  <c r="D42" i="3"/>
  <c r="B42" i="3"/>
  <c r="D41" i="3"/>
  <c r="B41" i="3"/>
  <c r="D40" i="3"/>
  <c r="B40" i="3"/>
  <c r="D39" i="3"/>
  <c r="B39" i="3"/>
  <c r="D38" i="3"/>
  <c r="B38" i="3"/>
  <c r="E37" i="3"/>
  <c r="H37" i="3" s="1"/>
  <c r="D37" i="3"/>
  <c r="B37" i="3"/>
  <c r="D36" i="3"/>
  <c r="B36" i="3"/>
  <c r="D35" i="3"/>
  <c r="B35" i="3"/>
  <c r="D34" i="3"/>
  <c r="B34" i="3"/>
  <c r="D33" i="3"/>
  <c r="B33" i="3"/>
  <c r="D32" i="3"/>
  <c r="B32" i="3"/>
  <c r="H31" i="3"/>
  <c r="E31" i="3"/>
  <c r="D31" i="3"/>
  <c r="B31" i="3"/>
  <c r="D30" i="3"/>
  <c r="B30" i="3"/>
  <c r="E29" i="3"/>
  <c r="D29" i="3"/>
  <c r="B29" i="3"/>
  <c r="D28" i="3"/>
  <c r="B28" i="3"/>
  <c r="D27" i="3"/>
  <c r="B27" i="3"/>
  <c r="D26" i="3"/>
  <c r="B26" i="3"/>
  <c r="D25" i="3"/>
  <c r="B25" i="3"/>
  <c r="D24" i="3"/>
  <c r="B24" i="3"/>
  <c r="D23" i="3"/>
  <c r="B23" i="3"/>
  <c r="D22" i="3"/>
  <c r="B22" i="3"/>
  <c r="D21" i="3"/>
  <c r="B21" i="3"/>
  <c r="D20" i="3"/>
  <c r="B20" i="3"/>
  <c r="D19" i="3"/>
  <c r="B19" i="3"/>
  <c r="D18" i="3"/>
  <c r="B18" i="3"/>
  <c r="D17" i="3"/>
  <c r="B17" i="3"/>
  <c r="D16" i="3"/>
  <c r="B16" i="3"/>
  <c r="D15" i="3"/>
  <c r="B15" i="3"/>
  <c r="D14" i="3"/>
  <c r="B14" i="3"/>
  <c r="D13" i="3"/>
  <c r="B13" i="3"/>
  <c r="D10" i="3"/>
  <c r="D9" i="3"/>
  <c r="D8" i="3"/>
  <c r="D7" i="3"/>
  <c r="G3" i="3"/>
  <c r="B3" i="3"/>
  <c r="F962" i="2"/>
  <c r="E968" i="2" s="1"/>
  <c r="E87" i="3" s="1"/>
  <c r="H87" i="3" s="1"/>
  <c r="F954" i="2"/>
  <c r="E960" i="2" s="1"/>
  <c r="E86" i="3" s="1"/>
  <c r="H86" i="3" s="1"/>
  <c r="F946" i="2"/>
  <c r="E952" i="2" s="1"/>
  <c r="E85" i="3" s="1"/>
  <c r="H85" i="3" s="1"/>
  <c r="F938" i="2"/>
  <c r="E944" i="2" s="1"/>
  <c r="E84" i="3" s="1"/>
  <c r="H84" i="3" s="1"/>
  <c r="E934" i="2"/>
  <c r="E936" i="2" s="1"/>
  <c r="E83" i="3" s="1"/>
  <c r="H83" i="3" s="1"/>
  <c r="E908" i="2"/>
  <c r="E907" i="2"/>
  <c r="E906" i="2"/>
  <c r="E912" i="2" s="1"/>
  <c r="E890" i="2"/>
  <c r="E885" i="2"/>
  <c r="E880" i="2"/>
  <c r="E875" i="2"/>
  <c r="E870" i="2"/>
  <c r="E865" i="2"/>
  <c r="E860" i="2"/>
  <c r="E891" i="2" s="1"/>
  <c r="E853" i="2"/>
  <c r="E852" i="2"/>
  <c r="E854" i="2" s="1"/>
  <c r="E892" i="2" s="1"/>
  <c r="E79" i="3" s="1"/>
  <c r="H79" i="3" s="1"/>
  <c r="E837" i="2"/>
  <c r="E833" i="2"/>
  <c r="E832" i="2"/>
  <c r="E841" i="2" s="1"/>
  <c r="E831" i="2"/>
  <c r="E819" i="2"/>
  <c r="E818" i="2"/>
  <c r="E820" i="2" s="1"/>
  <c r="E807" i="2"/>
  <c r="E808" i="2" s="1"/>
  <c r="E792" i="2"/>
  <c r="E791" i="2"/>
  <c r="E809" i="2" s="1"/>
  <c r="E77" i="3" s="1"/>
  <c r="E790" i="2"/>
  <c r="D778" i="2"/>
  <c r="D777" i="2"/>
  <c r="D776" i="2"/>
  <c r="E779" i="2" s="1"/>
  <c r="E780" i="2" s="1"/>
  <c r="E761" i="2"/>
  <c r="E760" i="2"/>
  <c r="E762" i="2" s="1"/>
  <c r="E781" i="2" s="1"/>
  <c r="E76" i="3" s="1"/>
  <c r="E751" i="2"/>
  <c r="E75" i="3" s="1"/>
  <c r="H75" i="3" s="1"/>
  <c r="F745" i="2"/>
  <c r="E739" i="2"/>
  <c r="E743" i="2" s="1"/>
  <c r="E74" i="3" s="1"/>
  <c r="H74" i="3" s="1"/>
  <c r="E731" i="2"/>
  <c r="E73" i="3" s="1"/>
  <c r="H73" i="3" s="1"/>
  <c r="E727" i="2"/>
  <c r="E713" i="2"/>
  <c r="E716" i="2" s="1"/>
  <c r="E72" i="3" s="1"/>
  <c r="H72" i="3" s="1"/>
  <c r="E693" i="2"/>
  <c r="E692" i="2"/>
  <c r="E691" i="2"/>
  <c r="E681" i="2"/>
  <c r="E679" i="2"/>
  <c r="E675" i="2"/>
  <c r="E674" i="2"/>
  <c r="E673" i="2"/>
  <c r="E680" i="2" s="1"/>
  <c r="E663" i="2"/>
  <c r="E666" i="2" s="1"/>
  <c r="E69" i="3" s="1"/>
  <c r="H69" i="3" s="1"/>
  <c r="F648" i="2"/>
  <c r="E654" i="2" s="1"/>
  <c r="E68" i="3" s="1"/>
  <c r="H68" i="3" s="1"/>
  <c r="E644" i="2"/>
  <c r="E646" i="2" s="1"/>
  <c r="E67" i="3" s="1"/>
  <c r="H67" i="3" s="1"/>
  <c r="F633" i="2"/>
  <c r="E639" i="2" s="1"/>
  <c r="E66" i="3" s="1"/>
  <c r="H66" i="3" s="1"/>
  <c r="E622" i="2"/>
  <c r="E624" i="2" s="1"/>
  <c r="E64" i="3" s="1"/>
  <c r="H64" i="3" s="1"/>
  <c r="F611" i="2"/>
  <c r="E617" i="2" s="1"/>
  <c r="E63" i="3" s="1"/>
  <c r="H63" i="3" s="1"/>
  <c r="E608" i="2"/>
  <c r="F602" i="2"/>
  <c r="E597" i="2"/>
  <c r="E592" i="2"/>
  <c r="E587" i="2"/>
  <c r="E582" i="2"/>
  <c r="E577" i="2"/>
  <c r="E598" i="2" s="1"/>
  <c r="E601" i="2" s="1"/>
  <c r="F564" i="2"/>
  <c r="E570" i="2" s="1"/>
  <c r="E61" i="3" s="1"/>
  <c r="H61" i="3" s="1"/>
  <c r="E562" i="2"/>
  <c r="E60" i="3" s="1"/>
  <c r="H60" i="3" s="1"/>
  <c r="F536" i="2"/>
  <c r="F530" i="2"/>
  <c r="F524" i="2"/>
  <c r="F516" i="2"/>
  <c r="E522" i="2" s="1"/>
  <c r="E58" i="3" s="1"/>
  <c r="H58" i="3" s="1"/>
  <c r="E512" i="2"/>
  <c r="E514" i="2" s="1"/>
  <c r="E57" i="3" s="1"/>
  <c r="H57" i="3" s="1"/>
  <c r="F501" i="2"/>
  <c r="F495" i="2"/>
  <c r="F489" i="2"/>
  <c r="F483" i="2"/>
  <c r="F477" i="2"/>
  <c r="F469" i="2"/>
  <c r="F463" i="2"/>
  <c r="E475" i="2" s="1"/>
  <c r="E55" i="3" s="1"/>
  <c r="H55" i="3" s="1"/>
  <c r="F455" i="2"/>
  <c r="E461" i="2" s="1"/>
  <c r="E54" i="3" s="1"/>
  <c r="H54" i="3" s="1"/>
  <c r="F447" i="2"/>
  <c r="F441" i="2"/>
  <c r="F435" i="2"/>
  <c r="F427" i="2"/>
  <c r="E433" i="2" s="1"/>
  <c r="E52" i="3" s="1"/>
  <c r="H52" i="3" s="1"/>
  <c r="F419" i="2"/>
  <c r="E425" i="2" s="1"/>
  <c r="E51" i="3" s="1"/>
  <c r="H51" i="3" s="1"/>
  <c r="F410" i="2"/>
  <c r="E406" i="2"/>
  <c r="E408" i="2" s="1"/>
  <c r="E49" i="3" s="1"/>
  <c r="H49" i="3" s="1"/>
  <c r="E401" i="2"/>
  <c r="E48" i="3" s="1"/>
  <c r="H48" i="3" s="1"/>
  <c r="E399" i="2"/>
  <c r="E392" i="2"/>
  <c r="E394" i="2" s="1"/>
  <c r="E47" i="3" s="1"/>
  <c r="H47" i="3" s="1"/>
  <c r="F381" i="2"/>
  <c r="F375" i="2"/>
  <c r="F366" i="2"/>
  <c r="E362" i="2"/>
  <c r="E364" i="2" s="1"/>
  <c r="E44" i="3" s="1"/>
  <c r="H44" i="3" s="1"/>
  <c r="E345" i="2"/>
  <c r="E347" i="2" s="1"/>
  <c r="E42" i="3" s="1"/>
  <c r="H42" i="3" s="1"/>
  <c r="E337" i="2"/>
  <c r="E335" i="2"/>
  <c r="E331" i="2"/>
  <c r="E330" i="2"/>
  <c r="E329" i="2"/>
  <c r="E336" i="2" s="1"/>
  <c r="E306" i="2"/>
  <c r="E305" i="2"/>
  <c r="E304" i="2"/>
  <c r="E312" i="2" s="1"/>
  <c r="E288" i="2"/>
  <c r="E287" i="2"/>
  <c r="E286" i="2"/>
  <c r="E295" i="2" s="1"/>
  <c r="E279" i="2"/>
  <c r="E38" i="3" s="1"/>
  <c r="H38" i="3" s="1"/>
  <c r="E277" i="2"/>
  <c r="E262" i="2"/>
  <c r="E265" i="2" s="1"/>
  <c r="E36" i="3" s="1"/>
  <c r="H36" i="3" s="1"/>
  <c r="E257" i="2"/>
  <c r="E35" i="3" s="1"/>
  <c r="H35" i="3" s="1"/>
  <c r="E252" i="2"/>
  <c r="E244" i="2"/>
  <c r="E247" i="2" s="1"/>
  <c r="E34" i="3" s="1"/>
  <c r="H34" i="3" s="1"/>
  <c r="E237" i="2"/>
  <c r="E229" i="2"/>
  <c r="E239" i="2" s="1"/>
  <c r="E33" i="3" s="1"/>
  <c r="H33" i="3" s="1"/>
  <c r="E228" i="2"/>
  <c r="E233" i="2" s="1"/>
  <c r="E216" i="2"/>
  <c r="E218" i="2" s="1"/>
  <c r="E32" i="3" s="1"/>
  <c r="H32" i="3" s="1"/>
  <c r="E200" i="2"/>
  <c r="E202" i="2" s="1"/>
  <c r="E195" i="2"/>
  <c r="F183" i="2"/>
  <c r="F177" i="2"/>
  <c r="E172" i="2"/>
  <c r="E174" i="2" s="1"/>
  <c r="F162" i="2"/>
  <c r="E175" i="2" s="1"/>
  <c r="E27" i="3" s="1"/>
  <c r="H27" i="3" s="1"/>
  <c r="F154" i="2"/>
  <c r="E151" i="2"/>
  <c r="E153" i="2" s="1"/>
  <c r="E160" i="2" s="1"/>
  <c r="E26" i="3" s="1"/>
  <c r="H26" i="3" s="1"/>
  <c r="F134" i="2"/>
  <c r="E140" i="2" s="1"/>
  <c r="E25" i="3" s="1"/>
  <c r="H25" i="3" s="1"/>
  <c r="F126" i="2"/>
  <c r="E132" i="2" s="1"/>
  <c r="E24" i="3" s="1"/>
  <c r="J24" i="3" s="1"/>
  <c r="F118" i="2"/>
  <c r="E124" i="2" s="1"/>
  <c r="E23" i="3" s="1"/>
  <c r="H23" i="3" s="1"/>
  <c r="E116" i="2"/>
  <c r="E22" i="3" s="1"/>
  <c r="H22" i="3" s="1"/>
  <c r="F110" i="2"/>
  <c r="E105" i="2"/>
  <c r="E104" i="2"/>
  <c r="E103" i="2"/>
  <c r="E102" i="2"/>
  <c r="E101" i="2"/>
  <c r="E107" i="2" s="1"/>
  <c r="E88" i="2"/>
  <c r="E93" i="2" s="1"/>
  <c r="E108" i="2" s="1"/>
  <c r="E21" i="3" s="1"/>
  <c r="H21" i="3" s="1"/>
  <c r="F75" i="2"/>
  <c r="E81" i="2" s="1"/>
  <c r="E20" i="3" s="1"/>
  <c r="H20" i="3" s="1"/>
  <c r="F67" i="2"/>
  <c r="F61" i="2"/>
  <c r="F53" i="2"/>
  <c r="F47" i="2"/>
  <c r="F39" i="2"/>
  <c r="E45" i="2" s="1"/>
  <c r="E17" i="3" s="1"/>
  <c r="H17" i="3" s="1"/>
  <c r="F31" i="2"/>
  <c r="E37" i="2" s="1"/>
  <c r="E16" i="3" s="1"/>
  <c r="H16" i="3" s="1"/>
  <c r="F23" i="2"/>
  <c r="E29" i="2" s="1"/>
  <c r="E15" i="3" s="1"/>
  <c r="H15" i="3" s="1"/>
  <c r="F15" i="2"/>
  <c r="E21" i="2" s="1"/>
  <c r="E14" i="3" s="1"/>
  <c r="H14" i="3" s="1"/>
  <c r="F7" i="2"/>
  <c r="E13" i="2" s="1"/>
  <c r="E13" i="3" s="1"/>
  <c r="H13" i="3" s="1"/>
  <c r="E554" i="2" l="1"/>
  <c r="E59" i="3" s="1"/>
  <c r="H59" i="3" s="1"/>
  <c r="E507" i="2"/>
  <c r="E56" i="3" s="1"/>
  <c r="H56" i="3" s="1"/>
  <c r="E453" i="2"/>
  <c r="E53" i="3" s="1"/>
  <c r="J53" i="3" s="1"/>
  <c r="E387" i="2"/>
  <c r="E46" i="3" s="1"/>
  <c r="H46" i="3" s="1"/>
  <c r="E189" i="2"/>
  <c r="E28" i="3" s="1"/>
  <c r="H28" i="3" s="1"/>
  <c r="E73" i="2"/>
  <c r="E19" i="3" s="1"/>
  <c r="H19" i="3" s="1"/>
  <c r="E59" i="2"/>
  <c r="E18" i="3" s="1"/>
  <c r="H18" i="3" s="1"/>
  <c r="H77" i="3"/>
  <c r="N77" i="3"/>
  <c r="L77" i="3"/>
  <c r="N76" i="3"/>
  <c r="H76" i="3"/>
  <c r="L76" i="3"/>
  <c r="E30" i="3"/>
  <c r="E411" i="2"/>
  <c r="E417" i="2" s="1"/>
  <c r="E50" i="3" s="1"/>
  <c r="H50" i="3" s="1"/>
  <c r="E367" i="2"/>
  <c r="E373" i="2" s="1"/>
  <c r="E45" i="3" s="1"/>
  <c r="H45" i="3" s="1"/>
  <c r="E311" i="2"/>
  <c r="E294" i="2"/>
  <c r="E313" i="2"/>
  <c r="E339" i="2"/>
  <c r="E338" i="2"/>
  <c r="E838" i="2"/>
  <c r="E842" i="2" s="1"/>
  <c r="E843" i="2" s="1"/>
  <c r="E78" i="3" s="1"/>
  <c r="H78" i="3" s="1"/>
  <c r="E839" i="2"/>
  <c r="L32" i="3"/>
  <c r="N32" i="3"/>
  <c r="E314" i="2"/>
  <c r="E840" i="2"/>
  <c r="E914" i="2"/>
  <c r="E915" i="2"/>
  <c r="E913" i="2"/>
  <c r="E917" i="2" s="1"/>
  <c r="E80" i="3" s="1"/>
  <c r="H80" i="3" s="1"/>
  <c r="H29" i="3"/>
  <c r="J29" i="3"/>
  <c r="E293" i="2"/>
  <c r="E700" i="2"/>
  <c r="E701" i="2"/>
  <c r="E697" i="2"/>
  <c r="E699" i="2"/>
  <c r="E296" i="2"/>
  <c r="E292" i="2"/>
  <c r="E297" i="2" s="1"/>
  <c r="E39" i="3" s="1"/>
  <c r="H39" i="3" s="1"/>
  <c r="E310" i="2"/>
  <c r="E315" i="2" s="1"/>
  <c r="E40" i="3" s="1"/>
  <c r="H40" i="3" s="1"/>
  <c r="E340" i="2"/>
  <c r="E41" i="3" s="1"/>
  <c r="H41" i="3" s="1"/>
  <c r="E609" i="2"/>
  <c r="E62" i="3" s="1"/>
  <c r="H62" i="3" s="1"/>
  <c r="E683" i="2"/>
  <c r="E682" i="2"/>
  <c r="E684" i="2" s="1"/>
  <c r="E70" i="3" s="1"/>
  <c r="H70" i="3" s="1"/>
  <c r="E698" i="2"/>
  <c r="E916" i="2"/>
  <c r="H24" i="3"/>
  <c r="H53" i="3" l="1"/>
  <c r="K8" i="3"/>
  <c r="L30" i="3"/>
  <c r="K9" i="3" s="1"/>
  <c r="H30" i="3"/>
  <c r="K5" i="3" s="1"/>
  <c r="N30" i="3"/>
  <c r="K10" i="3" s="1"/>
  <c r="E702" i="2"/>
  <c r="E71" i="3" s="1"/>
  <c r="H71" i="3" s="1"/>
</calcChain>
</file>

<file path=xl/comments1.xml><?xml version="1.0" encoding="utf-8"?>
<comments xmlns="http://schemas.openxmlformats.org/spreadsheetml/2006/main">
  <authors>
    <author>Author</author>
  </authors>
  <commentList>
    <comment ref="E714" authorId="0">
      <text>
        <r>
          <rPr>
            <b/>
            <sz val="9"/>
            <color rgb="FF000000"/>
            <rFont val="Tahoma"/>
          </rPr>
          <t>User:</t>
        </r>
        <r>
          <rPr>
            <sz val="9"/>
            <color rgb="FF000000"/>
            <rFont val="Tahoma"/>
          </rPr>
          <t xml:space="preserve">
b2</t>
        </r>
      </text>
    </comment>
    <comment ref="E715" authorId="0">
      <text>
        <r>
          <rPr>
            <b/>
            <sz val="9"/>
            <color rgb="FF000000"/>
            <rFont val="Tahoma"/>
          </rPr>
          <t>User:</t>
        </r>
        <r>
          <rPr>
            <sz val="9"/>
            <color rgb="FF000000"/>
            <rFont val="Tahoma"/>
          </rPr>
          <t xml:space="preserve">
b4</t>
        </r>
      </text>
    </comment>
  </commentList>
</comments>
</file>

<file path=xl/sharedStrings.xml><?xml version="1.0" encoding="utf-8"?>
<sst xmlns="http://schemas.openxmlformats.org/spreadsheetml/2006/main" count="1331" uniqueCount="768">
  <si>
    <t>JANGAN DI HAPUS!: 51852-23dd523ceae67eca0e008041f5e70347</t>
  </si>
  <si>
    <t>AKREDITASI PROGRAM STUDI</t>
  </si>
  <si>
    <t>BADAN AKREDITASI NASIONAL - PERGURUAN TINGGI</t>
  </si>
  <si>
    <t>PROGRAM SARJANA</t>
  </si>
  <si>
    <t xml:space="preserve">Nama Perguruan Tinggi </t>
  </si>
  <si>
    <t xml:space="preserve">:   </t>
  </si>
  <si>
    <t>STAI Ma`arif Sarolangun</t>
  </si>
  <si>
    <t>Nama Unit Pengelola</t>
  </si>
  <si>
    <t>Nama Program Studi</t>
  </si>
  <si>
    <t>Pendidikan Bahasa Arab</t>
  </si>
  <si>
    <t>Kode Panel</t>
  </si>
  <si>
    <t>TS</t>
  </si>
  <si>
    <t>/</t>
  </si>
  <si>
    <t>JTAA</t>
  </si>
  <si>
    <t>:</t>
  </si>
  <si>
    <t>TS = Tahun akademik penuh terakhir saat pengajuan usulan akreditasi</t>
  </si>
  <si>
    <t>ASESMEN KECUKUPAN</t>
  </si>
  <si>
    <t>(Penilaian Individual)</t>
  </si>
  <si>
    <t>Nama Asesor</t>
  </si>
  <si>
    <t>Kota Penilaian</t>
  </si>
  <si>
    <t>ban-pt</t>
  </si>
  <si>
    <t>v20210531</t>
  </si>
  <si>
    <t>Tanggal Penilaian</t>
  </si>
  <si>
    <r>
      <rPr>
        <b/>
        <sz val="12"/>
        <color rgb="FFFFFFFF"/>
        <rFont val="Calibri"/>
      </rPr>
      <t xml:space="preserve">PETUNJUK PENGISIAN: SEL YANG DIISI HANYA YANG BERWARNA </t>
    </r>
    <r>
      <rPr>
        <b/>
        <sz val="12"/>
        <color rgb="FFFFFF00"/>
        <rFont val="Calibri"/>
      </rPr>
      <t>KUNING</t>
    </r>
  </si>
  <si>
    <t xml:space="preserve">NO. </t>
  </si>
  <si>
    <t>ELEMEN</t>
  </si>
  <si>
    <t>INDIKATOR DAN PENILAIAN</t>
  </si>
  <si>
    <t>SKOR</t>
  </si>
  <si>
    <t>DESKRIPSI PENILAIAN ASESOR BERDASARKAN DATA DAN INFORMASI DARI DOKUMEN LED DAN LKPS</t>
  </si>
  <si>
    <t>A</t>
  </si>
  <si>
    <r>
      <rPr>
        <b/>
        <sz val="11"/>
        <color rgb="FF000000"/>
        <rFont val="Calibri"/>
      </rPr>
      <t xml:space="preserve">Kondisi Eksternal
</t>
    </r>
    <r>
      <rPr>
        <sz val="11"/>
        <color rgb="FF000000"/>
        <rFont val="Calibri"/>
      </rPr>
      <t>Konsistensi dengan hasil analisis SWOT dan/atau analisis lain serta rencana pengembangan ke depan.</t>
    </r>
  </si>
  <si>
    <t>Unit Pengelola Program Studi (UPPS) mampu:
1) mengidentifikasi kondisi lingkungan dan industri yang relevan secara komprehensif dan strategis,
2) menetapkan posisi relatif program studi terhadap lingkungannya,
3) menggunakan hasil identifikasi dan posisi yang ditetapkan untuk melakukan analisis (SWOT/metoda analisis lain yang relevan) untuk pengembangan program studi, dan
4) merumuskan strategi pengembangan program studi yang berkesesuaian untuk menghasilkan program-program pengembangan alternatif yang tepat.</t>
  </si>
  <si>
    <t>Unit Pengelola Program Studi (UPPS) mampu:
1) mengidentifikasi kondisi lingkungan dan industri yang relevan secara komprehensif,
2) menetapkan posisi relatif program studi terhadap lingkungannya, dan 
3) menggunakan hasil identifikasi dan posisi yang ditetapkan untuk melakukan analisis (SWOT/metoda analisis lain yang relevan) untuk pengembangan program studi.</t>
  </si>
  <si>
    <t>Unit Pengelola Program Studi (UPPS) mampu:
1) mengidentifikasi kondisi lingkungan dan industri yang relevan, dan
2) menetapkan posisi relatif program studi terhadap lingkungannya.</t>
  </si>
  <si>
    <t>Unit Pengelola Program Studi (UPPS) kurang mampu:
1) mengidentifikasi kondisi lingkungan dan industri yang relevan, dan
2) menetapkan posisi relatif program studi terhadap lingkungannya.</t>
  </si>
  <si>
    <t>Unit Pengelola Program Studi (UPPS) tidak mampu:
1) mengidentifikasi kondisi lingkungan dan industri yang relevan, dan
2) menetapkan posisi relatif program studi terhadap lingkungannya.</t>
  </si>
  <si>
    <t>Skor</t>
  </si>
  <si>
    <t>B</t>
  </si>
  <si>
    <r>
      <rPr>
        <b/>
        <sz val="11"/>
        <color rgb="FF000000"/>
        <rFont val="Calibri"/>
      </rPr>
      <t xml:space="preserve">Profil Unit Pengelola Program Studi
</t>
    </r>
    <r>
      <rPr>
        <sz val="11"/>
        <color rgb="FF000000"/>
        <rFont val="Calibri"/>
      </rPr>
      <t>Keserbacakupan informasi dalam profil dan konsistensi antara profil dengan data dan informasi yang disampaikan pada masing-masing kriteria, serta menunjukkan iklim yang kondusif untuk pengembangan dan reputasi sebagai rujukan di bidang keilmuannya.</t>
    </r>
  </si>
  <si>
    <t>Profil UPPS: 
1) menunjukkan keserbacakupan informasi yang jelas dan konsisten dengan data dan informasi yang disampaikan pada masing-masing kriteria,
2) menggambarkan keselarasan dengan substansi keilmuan program studi. 
3) menunjukkan iklim yang kondusif untuk pengembangan keilmuan program studi.
4) menunjukkan reputasi sebagai rujukan di bidang keilmuannya.</t>
  </si>
  <si>
    <t>Profil UPPS:
1) menunjukkan keserbacakupan informasi yang jelas dan konsisten dengan data dan informasi yang disampaikan pada masing-masing kriteria,
2) menggambarkan keselarasan dengan substansi keilmuan program studi. 
3) menunjukkan iklim yang kondusif untuk pengembangan keilmuan program studi.</t>
  </si>
  <si>
    <t xml:space="preserve">Profil UPPS:
1) menunjukkan keserbacakupan informasi yang jelas dengan data dan informasi yang disampaikan pada masing-masing kriteria,
2) menggambarkan keselarasan dengan substansi keilmuan program studi. </t>
  </si>
  <si>
    <t xml:space="preserve">Profil UPPS:
1) kurang menunjukkan keserbacakupan informasi yang jelas dengan data dan informasi yang disampaikan pada masing-masing kriteria,
2) kurang menggambarkan keselarasan dengan substansi keilmuan program studi. </t>
  </si>
  <si>
    <t xml:space="preserve">Profil UPPS tidak menunjukkan keserbacakupan informasi yang jelas dengan data dan informasi yang disampaikan pada masing-masing kriteria. </t>
  </si>
  <si>
    <r>
      <rPr>
        <b/>
        <sz val="11"/>
        <color rgb="FF000000"/>
        <rFont val="Calibri"/>
      </rPr>
      <t>C  Kriteria</t>
    </r>
    <r>
      <rPr>
        <sz val="11"/>
        <color rgb="FF000000"/>
        <rFont val="Calibri"/>
      </rPr>
      <t xml:space="preserve">
</t>
    </r>
    <r>
      <rPr>
        <b/>
        <sz val="11"/>
        <color rgb="FF000000"/>
        <rFont val="Calibri"/>
      </rPr>
      <t>C.1 
Visi, Misi, Tujuan dan Strategi</t>
    </r>
    <r>
      <rPr>
        <sz val="11"/>
        <color rgb="FF000000"/>
        <rFont val="Calibri"/>
      </rPr>
      <t xml:space="preserve">
C.1.4 
Indikator Kinerja Utama
</t>
    </r>
  </si>
  <si>
    <t>Kesesuaian Visi, Misi, Tujuan dan Strategi (VMTS) Unit Pengelola Program Studi (UPPS) terhadap VMTS Perguruan Tinggi (PT) dan visi keilmuan Program Studi (PS) yang dikelolanya.</t>
  </si>
  <si>
    <t>UPPS memiliki:
1) visi yang mencerminkan visi perguruan tinggi dan memayungi visi keilmuan terkait keunikan program studi serta didukung data konsistensi implementasinya,
2) misi, tujuan, dan strategi yang searah dan bersinerji dengan misi, tujuan, dan strategi perguruan tinggi serta mendukung pengembangan program studi dengan data konsistensi implementasinya.</t>
  </si>
  <si>
    <t>UPPS memiliki:
1) visi yang mencerminkan visi perguruan tinggi dan memayungi visi keilmuan terkait keunikan program studi,
2) misi, tujuan, dan strategi yang searah dan bersinerji dengan misi, tujuan, dan strategi perguruan tinggi serta mendukung pengembangan program studi.</t>
  </si>
  <si>
    <t>UPPS memiliki: 
1) visi yang mencerminkan visi perguruan tinggi dan memayungi visi keilmuan terkait program studi,
2) misi, tujuan, dan strategi yang searah dengan misi, tujuan, dan strategi perguruan tinggi serta mendukung pengembangan program studi.</t>
  </si>
  <si>
    <t>UPPS memiliki:
1) visi yang mencerminkan visi perguruan tinggi namun tidak memayungi visi keilmuan terkait program studi,
2) misi, tujuan, dan strategi kurang searah dengan misi, tujuan sasaran, dan strategi perguruan tinggi serta kurang mendukung pengembangan program studi.</t>
  </si>
  <si>
    <t>UPPS memiliki misi, tujuan, dan strategi yang tidak terkait dengan strategi perguruan tinggi dan pengembangan program studi.</t>
  </si>
  <si>
    <t>Mekanisme dan keterlibatan pemangku kepentingan dalam penyusunan VMTS UPPS.</t>
  </si>
  <si>
    <t>Ada mekanisme dalam penyusunan dan penetapan visi, misi, tujuan dan strategi yang terdokumentasi serta ada keterlibatan semua pemangku kepentingan internal (dosen, mahasiswa dan tenaga kependidikan) dan eksternal (lulusan, pengguna lulusan dan pakar/mitra/organisasi profesi/pemerintah).</t>
  </si>
  <si>
    <t xml:space="preserve">Ada mekanisme dalam penyusunan dan penetapan visi, misi, tujuan dan strategi yang terdokumentasi serta ada keterlibatan pemangku kepentingan internal (dosen, mahasiswa dan tenaga kependidikan) dan pemangku kepentingan eksternal (lulusan dan pengguna lulusan). </t>
  </si>
  <si>
    <t>Ada mekanisme dalam penyusunan dan penetapan visi, misi, tujuan dan strategi yang terdokumentasi serta ada keterlibatan pemangku kepentingan internal (dosen dan mahasiswa) dan pemangku kepentingan eksternal (lulusan).</t>
  </si>
  <si>
    <t>Ada mekanisme dalam penyusunan dan penetapan visi, misi, tujuan dan strategi yang terdokumentasi namun tidak melibatkan pemangku kepentingan.</t>
  </si>
  <si>
    <t>Tidak ada mekanisme dalam penyusunan dan penetapan visi, misi, tujuan dan strategi.</t>
  </si>
  <si>
    <t xml:space="preserve">Strategi pencapaian tujuan disusun berdasarkan analisis yang sistematis, serta pada pelaksanaannya dilakukan pemantauan dan evaluasi yang ditindaklanjuti. </t>
  </si>
  <si>
    <t>Strategi efektif untuk mencapai tujuan dan disusun berdasarkan analisis yang sistematis dengan menggunakan metoda yang relevan dan terdokumentasi serta pada pelaksanaannya dilakukan pemantauan dan evaluasi dan ditindaklanjuti.</t>
  </si>
  <si>
    <t>Strategi efektif untuk mencapai tujuan dan disusun berdasarkan analisis yang sistematis dengan menggunakan metoda yang relevan dan terdokumentasi serta pada pelaksanaannya dilakukan pemantauan dan evaluasi.</t>
  </si>
  <si>
    <t>Strategi untuk mencapai tujuan dan disusun berdasarkan analisis yang sistematis dengan menggunakan metoda yang relevan serta terdokumentasi namun belum terbukti efektifitasnya.</t>
  </si>
  <si>
    <t>Strategi untuk mencapai tujuan disusun berdasarkan analisis yang kurang sistematis serta tidak menggunakan metoda yang relevan.</t>
  </si>
  <si>
    <t>Tidak memiliki strategi untuk mencapai tujuan.</t>
  </si>
  <si>
    <r>
      <rPr>
        <b/>
        <sz val="11"/>
        <color rgb="FF000000"/>
        <rFont val="Calibri"/>
      </rPr>
      <t>C.2 
Tata Pamong, Tata Kelola, dan Kerjasama</t>
    </r>
    <r>
      <rPr>
        <sz val="11"/>
        <color rgb="FF000000"/>
        <rFont val="Calibri"/>
      </rPr>
      <t xml:space="preserve">
C.2.4 
Indikator Kinerja Utama
C.2.4.a) 
Sistem Tata Pamong</t>
    </r>
  </si>
  <si>
    <t>A. Kelengkapan struktur organisasi dan keefektifan penyelenggaraan organisasi.</t>
  </si>
  <si>
    <t>UPPS memiliki dokumen formal struktur organisasi dan tata kerja yang dilengkapi tugas dan fungsinya, serta telah berjalan secara konsisten dan menjamin tata pamong yang baik serta berjalan efektif dan efisien.</t>
  </si>
  <si>
    <t>UPPS memiliki dokumen formal struktur organisasi dan tata kerja yang dilengkapi tugas dan fungsinya, serta telah berjalan secara konsisten dan menjamin tata pamong yang baik.</t>
  </si>
  <si>
    <t xml:space="preserve">UPPS memiliki dokumen formal struktur organisasi dan tata kerja yang dilengkapi tugas dan fungsinya, serta telah berjalan secara konsisten. </t>
  </si>
  <si>
    <t>UPPS memiliki dokumen formal struktur organisasi dan tata kerja  namun tugas dan fungsi belum berjalan secara konsisten.</t>
  </si>
  <si>
    <t>UPPS tidak memiliki dokumen formal struktur organisasi.</t>
  </si>
  <si>
    <t>B. Perwujudan good governance dan pemenuhan lima pilar sistem tata pamong, yang mencakup: 1) Kredibel, 2) Transparan, 3) Akuntabel, 4) Bertanggung jawab, 5) Adil.</t>
  </si>
  <si>
    <r>
      <t>UPPS memiliki praktek baik (</t>
    </r>
    <r>
      <rPr>
        <i/>
        <sz val="11"/>
        <color rgb="FF000000"/>
        <rFont val="Calibri"/>
      </rPr>
      <t>best practices</t>
    </r>
    <r>
      <rPr>
        <sz val="11"/>
        <color rgb="FF000000"/>
        <rFont val="Calibri"/>
      </rPr>
      <t>) dalam menerapkan tata pamong yang memenuhi 5 kaidah good governance untuk menjamin penyelenggaraan program studi yang bermutu.</t>
    </r>
  </si>
  <si>
    <r>
      <t>UPPS memiliki praktek baik (</t>
    </r>
    <r>
      <rPr>
        <i/>
        <sz val="11"/>
        <color rgb="FF000000"/>
        <rFont val="Calibri"/>
      </rPr>
      <t>best practices</t>
    </r>
    <r>
      <rPr>
        <sz val="11"/>
        <color rgb="FF000000"/>
        <rFont val="Calibri"/>
      </rPr>
      <t>) dalam menerapkan tata pamong yang memenuhi 4 kaidah good governance untuk menjamin penyelenggaraan program studi yang bermutu.</t>
    </r>
  </si>
  <si>
    <r>
      <t>UPPS memiliki praktek baik (</t>
    </r>
    <r>
      <rPr>
        <i/>
        <sz val="11"/>
        <color rgb="FF000000"/>
        <rFont val="Calibri"/>
      </rPr>
      <t>best practices</t>
    </r>
    <r>
      <rPr>
        <sz val="11"/>
        <color rgb="FF000000"/>
        <rFont val="Calibri"/>
      </rPr>
      <t>) dalam menerapkan tata pamong yang memenuhi 3 kaidah good governance untuk menjamin penyelenggaraan program studi yang bermutu.</t>
    </r>
  </si>
  <si>
    <r>
      <t>UPPS memiliki praktek baik (</t>
    </r>
    <r>
      <rPr>
        <i/>
        <sz val="11"/>
        <color rgb="FF000000"/>
        <rFont val="Calibri"/>
      </rPr>
      <t>best practices</t>
    </r>
    <r>
      <rPr>
        <sz val="11"/>
        <color rgb="FF000000"/>
        <rFont val="Calibri"/>
      </rPr>
      <t>) dalam menerapkan tata pamong yang memenuhi 1 s.d. 2 kaidah good governance untuk menjamin penyelenggaraan program studi yang bermutu.</t>
    </r>
  </si>
  <si>
    <t>Tidak ada Skor kurang dari 1.</t>
  </si>
  <si>
    <t>Skor = (A + (2 x B)) / 3</t>
  </si>
  <si>
    <t>C.2.4.b) 
Kepemimpinan dan Kemampuan Manajerial</t>
  </si>
  <si>
    <t>A. Komitmen pimpinan UPPS.</t>
  </si>
  <si>
    <t xml:space="preserve">Terdapat bukti/pengakuan yang sahih bahwa pimpinan UPPS memiliki karakter kepemimpinan operasional, organisasi, dan publik. </t>
  </si>
  <si>
    <t xml:space="preserve">Terdapat bukti/pengakuan yang sahih bahwa pimpinan UPPS memiliki 2 karakter diantara kepemimpinan operasional, organisasi, dan publik. </t>
  </si>
  <si>
    <t xml:space="preserve">Terdapat bukti/pengakuan yang sahih bahwa pimpinan UPPS memiliki salah satu karakter diantara kepemimpinan operasional, organisasi, dan publik. </t>
  </si>
  <si>
    <t>Tidak ada Skor kurang dari 2.</t>
  </si>
  <si>
    <t xml:space="preserve">B. Kapabilitas pimpinan UPPS, mencakup aspek: 1) perencanaan, 2) pengorganisasian, 3) penempatan personel, 4) pelaksanaan, 5) pengendalian dan pengawasan, dan 6) pelaporan yang menjadi dasar tindak lanjut. </t>
  </si>
  <si>
    <t>Pimpinan UPPS mampu :
1) melaksanakan 6 fungsi manajemen secara efektif dan efisien,
2) mengantisipasi dan menyelesaikan masalah pada situasi yang tidak terduga,
3) melakukan inovasi untuk menghasilkan nilai tambah.</t>
  </si>
  <si>
    <t>Pimpinan UPPS mampu :
1) melaksanakan 6 fungsi manajemen secara efektif dan efisien,
2) mengantisipasi dan menyelesaikan masalah pada situasi yang tidak terduga.</t>
  </si>
  <si>
    <t>Pimpinan UPPS mampu melaksanakan 6 fungsi manajemen secara efektif.</t>
  </si>
  <si>
    <t>Pimpinan UPPS mampu melaksanakan kurang dari 6 fungsi manajemen.</t>
  </si>
  <si>
    <t>C.2.4.c) 
Kerjasama</t>
  </si>
  <si>
    <t>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</si>
  <si>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UPPS memiliki bukti yang sahih terkait kerjasama yang ada telah memenuhi 3 aspek.</t>
  </si>
  <si>
    <t>UPPS memiliki bukti yang sahih terkait kerjasama yang ada telah memenuhi aspek 1 dan 2.</t>
  </si>
  <si>
    <t>UPPS memiliki bukti yang sahih terkait kerjasama yang ada telah memenuhi aspek 1.</t>
  </si>
  <si>
    <t>UPPS tidak memiliki bukti pelaksanaan kerjasama.</t>
  </si>
  <si>
    <t>A. Kerjasama perguruan tinggi di bidang pendidikan, penelitian dan PkM dalam 3 tahun terakhir.
Tabel 1 LKPS</t>
  </si>
  <si>
    <r>
      <t>N</t>
    </r>
    <r>
      <rPr>
        <vertAlign val="subscript"/>
        <sz val="11"/>
        <color rgb="FF000000"/>
        <rFont val="Calibri"/>
      </rPr>
      <t>1</t>
    </r>
    <r>
      <rPr>
        <sz val="11"/>
        <color rgb="FF000000"/>
        <rFont val="Calibri"/>
      </rPr>
      <t xml:space="preserve"> = Jumlah kerjasama pendidikan.</t>
    </r>
  </si>
  <si>
    <t>borang</t>
  </si>
  <si>
    <r>
      <t>N</t>
    </r>
    <r>
      <rPr>
        <vertAlign val="subscript"/>
        <sz val="11"/>
        <color rgb="FF000000"/>
        <rFont val="Calibri"/>
      </rPr>
      <t>2</t>
    </r>
    <r>
      <rPr>
        <sz val="11"/>
        <color rgb="FF000000"/>
        <rFont val="Calibri"/>
      </rPr>
      <t xml:space="preserve"> = Jumlah kerjasama penelitian.</t>
    </r>
  </si>
  <si>
    <r>
      <t>N</t>
    </r>
    <r>
      <rPr>
        <vertAlign val="subscript"/>
        <sz val="11"/>
        <color rgb="FF000000"/>
        <rFont val="Calibri"/>
      </rPr>
      <t>3</t>
    </r>
    <r>
      <rPr>
        <sz val="11"/>
        <color rgb="FF000000"/>
        <rFont val="Calibri"/>
      </rPr>
      <t xml:space="preserve"> = Jumlah kerjasama pengabdian kepada masyarakat.</t>
    </r>
  </si>
  <si>
    <r>
      <t>N</t>
    </r>
    <r>
      <rPr>
        <vertAlign val="subscript"/>
        <sz val="11"/>
        <color rgb="FF000000"/>
        <rFont val="Calibri"/>
      </rPr>
      <t>DTPS</t>
    </r>
    <r>
      <rPr>
        <sz val="11"/>
        <color rgb="FF000000"/>
        <rFont val="Calibri"/>
      </rPr>
      <t xml:space="preserve"> = Jumlah dosen tetap yang ditugaskan sebagai pengampu mata kuliah dengan bidang keahlian yang sesuai dengan kompetensi inti program studi yang diakreditasi.</t>
    </r>
  </si>
  <si>
    <t>RK = ((a x N1) + (b x N2) + (c x N3)) / NDTPS</t>
  </si>
  <si>
    <t>a =</t>
  </si>
  <si>
    <t xml:space="preserve">b = </t>
  </si>
  <si>
    <t xml:space="preserve">c = </t>
  </si>
  <si>
    <t>bRK =</t>
  </si>
  <si>
    <t>Skor A</t>
  </si>
  <si>
    <t>B. Kerjasama tingkat internasional, nasional, wilayah/lokal yang relevan dengan program studi dan dikelola oleh UPPS dalam 3 tahun terakhir.
Tabel 1 LKPS</t>
  </si>
  <si>
    <r>
      <t>N</t>
    </r>
    <r>
      <rPr>
        <vertAlign val="subscript"/>
        <sz val="11"/>
        <color rgb="FF000000"/>
        <rFont val="Calibri"/>
      </rPr>
      <t>I</t>
    </r>
    <r>
      <rPr>
        <sz val="11"/>
        <color rgb="FF000000"/>
        <rFont val="Calibri"/>
      </rPr>
      <t xml:space="preserve"> = Jumlah kerjasama tingkat internasional.</t>
    </r>
  </si>
  <si>
    <r>
      <t>N</t>
    </r>
    <r>
      <rPr>
        <vertAlign val="subscript"/>
        <sz val="11"/>
        <color rgb="FF000000"/>
        <rFont val="Calibri"/>
      </rPr>
      <t>N</t>
    </r>
    <r>
      <rPr>
        <sz val="11"/>
        <color rgb="FF000000"/>
        <rFont val="Calibri"/>
      </rPr>
      <t xml:space="preserve"> = Jumlah kerjasama tingkat nasional.</t>
    </r>
  </si>
  <si>
    <r>
      <t>N</t>
    </r>
    <r>
      <rPr>
        <vertAlign val="subscript"/>
        <sz val="11"/>
        <color rgb="FF000000"/>
        <rFont val="Calibri"/>
      </rPr>
      <t>W</t>
    </r>
    <r>
      <rPr>
        <sz val="11"/>
        <color rgb="FF000000"/>
        <rFont val="Calibri"/>
      </rPr>
      <t xml:space="preserve"> = Jumlah kerjasama tingkat wilayah/lokal.</t>
    </r>
  </si>
  <si>
    <t xml:space="preserve">4: NI ≥ a </t>
  </si>
  <si>
    <r>
      <t xml:space="preserve">3-4: NI &lt; a DAN NN </t>
    </r>
    <r>
      <rPr>
        <sz val="11"/>
        <color rgb="FFFFFFFF"/>
        <rFont val="Calibri"/>
      </rPr>
      <t>≥</t>
    </r>
    <r>
      <rPr>
        <sz val="11"/>
        <color rgb="FFFFFFFF"/>
        <rFont val="Calibri"/>
      </rPr>
      <t xml:space="preserve"> b</t>
    </r>
  </si>
  <si>
    <t>2-3: 0 &lt; NI &lt; a DAN 0 &lt; NN &lt; b</t>
  </si>
  <si>
    <t>2: NI = 0 DAN NN = 0 DAN NW ≥ c</t>
  </si>
  <si>
    <t>0-2: NI = 0 DAN NN = 0 DAN NW &lt; c</t>
  </si>
  <si>
    <t>Skor B</t>
  </si>
  <si>
    <t>Skor = ((2 x A) + B) / 3</t>
  </si>
  <si>
    <t>C.2.5 
Indikator Kinerja Tambahan</t>
  </si>
  <si>
    <t>Pelampauan SN-DIKTI (indikator kinerja tambahan) yang ditetapkan oleh UPPS pada tiap kriteria.</t>
  </si>
  <si>
    <t>UPPS menetapkan indikator kinerja tambahan berdasarkan standar pendidikan tinggi yang ditetapkan perguruan tinggi. Indikator kinerja tambahan mencakup seluruh kriteria serta menunjukkan daya saing UPPS dan program studi di tingkat inernasional. Data indikator kinerja tambahan telah diukur, dimonitor, dikaji, dan dianalisis untuk perbaikan berkelanjutan.</t>
  </si>
  <si>
    <t>UPPS menetapkan indikator kinerja tambahan berdasarkan standar pendidikan tinggi yang ditetapkan perguruan tinggi. Indikator kinerja tambahan mencakup sebagian kriteria serta menunjukkan daya saing UPPS dan program studi di tingkat nasional. Data indikator kinerja tambahan telah diukur, dimonitor, dikaji, dan dianalisis untuk perbaikan berkelanjutan.</t>
  </si>
  <si>
    <t>UPPS tidak menetapkan indikator kinerja tambahan.</t>
  </si>
  <si>
    <t>C.2.6 
Evaluasi Capaian Kinerja</t>
  </si>
  <si>
    <t>Analisis keberhasilan dan/atau ketidakberhasilan pencapaian kinerja yang telah ditetapkan institusi yang memenuhi 2 aspek sebagai berikut: 
1) capaian kinerja harus diukur dengan metoda yang tepat, dan hasilnya dianalisis serta dievaluasi, dan
2) analisis terhadap capaian kinerja mencakup identifikasi akar masalah, faktor pendukung keberhasilan dan faktor penghambat ketercapaian standar, dan deskripsi singkat tindak lanjut yang akan dilakukan.</t>
  </si>
  <si>
    <t>Analisis pencapaian kinerja UPPS di tiap kriteria memenuhi 2 aspek, dilaksanakan setiap tahun dan hasilnya dipublikasikan kepada para pemangku kepentingan.</t>
  </si>
  <si>
    <t>Analisis pencapaian kinerja UPPS di tiap kriteria memenuhi 2 aspek dan dilaksanakan setiap tahun.</t>
  </si>
  <si>
    <t xml:space="preserve">Analisis pencapaian kinerja UPPS di tiap kriteria memenuhi 2 aspek. </t>
  </si>
  <si>
    <t xml:space="preserve">UPPS memiliki laporan pencapaian kinerja namun belum dianalisis dan dievaluasi. </t>
  </si>
  <si>
    <t xml:space="preserve">UPPS tidak memiliki laporan pencapaian kinerja. </t>
  </si>
  <si>
    <t>C.2.7
Penjaminan Mutu</t>
  </si>
  <si>
    <r>
      <t xml:space="preserve">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5) memiliki </t>
    </r>
    <r>
      <rPr>
        <i/>
        <sz val="11"/>
        <color rgb="FF000000"/>
        <rFont val="Calibri"/>
      </rPr>
      <t>external benchmarking</t>
    </r>
    <r>
      <rPr>
        <sz val="11"/>
        <color rgb="FF000000"/>
        <rFont val="Calibri"/>
      </rPr>
      <t xml:space="preserve"> dalam peningkatan mutu.</t>
    </r>
  </si>
  <si>
    <t>UPPS telah melaksanakan SPMI yang memenuhi 5 aspek.</t>
  </si>
  <si>
    <t xml:space="preserve">UPPS telah melaksanakan SPMI yang memenuhi aspek nomor 1 sampai dengan 4. </t>
  </si>
  <si>
    <t>UPPS telah melaksanakan SPMI yang memenuhi aspek nomor 1 sampai dengan 3.</t>
  </si>
  <si>
    <t>UPPS telah melaksanakan SPMI yang memenuhi aspek nomor 1 dan 2, serta siklus kegiatan SPMI baru dilaksanakan pada tahapan penetapan standar dan pelaksanaan standar pendidikan tinggi.</t>
  </si>
  <si>
    <t>UPPS telah memiliki dokumen legal pembentukan unsur pelaksana penjaminan mutu tanpa pelaksanaan SPMI.</t>
  </si>
  <si>
    <t>C.2.8
Kepuasan pemangku kepentingan</t>
  </si>
  <si>
    <t>Pengukuran kepuasan layanan manajemen terhadap para pemangku kepentingan: mahasiswa, dosen, tenaga kependidikan, lulusan, pengguna dan mitra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</si>
  <si>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UPPS melakukan pengukuran kepuasan kepada seluruh pemangku kepentingan terhadap layanan manajemen yang memenuhi seluruh aspek.</t>
  </si>
  <si>
    <t>UPPS melakukan pengukuran kepuasan kepada seluruh pemangku kepentingan terhadap layanan manajemen yang memenuhi aspek 1 s.d 4 dan salah satu dari aspek 5 atau aspek 6.</t>
  </si>
  <si>
    <t>UPPS melakukan pengukuran kepuasan kepada seluruh pemangku kepentingan terhadap layanan manajemen yang memenuhi aspek 1 s.d 4.</t>
  </si>
  <si>
    <t>UPPS melakukan pengukuran kepuasan kepada sebagian pemangku kepentingan terhadap layanan manajemen yang memenuhi aspek 1 s.d. 4.</t>
  </si>
  <si>
    <t>UPPS tidak melakukan pengukuran kepuasan layanan manajemen.</t>
  </si>
  <si>
    <r>
      <rPr>
        <b/>
        <sz val="11"/>
        <color rgb="FF000000"/>
        <rFont val="Calibri"/>
      </rPr>
      <t>C.3
Mahasiswa</t>
    </r>
    <r>
      <rPr>
        <sz val="11"/>
        <color rgb="FF000000"/>
        <rFont val="Calibri"/>
      </rPr>
      <t xml:space="preserve">
C.3.4 
Indikator Kinerja Utama
C.3.4.a) 
Kualitas Input Mahasiswa</t>
    </r>
  </si>
  <si>
    <t>Metoda rekrutmen dan keketatan seleksi.
Tabel 2.a LKPS</t>
  </si>
  <si>
    <t>Pilih kelompok program studi berdasarkan jumlah kebutuhan lulusan sesuai pilihan yang tersedia.
1: Tinggi; 2: Rendah.</t>
  </si>
  <si>
    <t>Tinggi</t>
  </si>
  <si>
    <t>1: Jumlah kebutuhan lulusan tinggi</t>
  </si>
  <si>
    <t>2: Jumlah kebutuhan lulusan rendah</t>
  </si>
  <si>
    <t>Rendah</t>
  </si>
  <si>
    <t>Untuk program studi dengan jumlah kebutuhan lulusan tinggi berlaku perhitungan Skor sebagai berikut:</t>
  </si>
  <si>
    <r>
      <t>N</t>
    </r>
    <r>
      <rPr>
        <vertAlign val="subscript"/>
        <sz val="11"/>
        <color rgb="FF000000"/>
        <rFont val="Calibri"/>
      </rPr>
      <t>A</t>
    </r>
    <r>
      <rPr>
        <sz val="11"/>
        <color rgb="FF000000"/>
        <rFont val="Calibri"/>
      </rPr>
      <t xml:space="preserve"> = Jumlah calon mahasiswa yang ikut seleksi.</t>
    </r>
  </si>
  <si>
    <r>
      <t>N</t>
    </r>
    <r>
      <rPr>
        <vertAlign val="subscript"/>
        <sz val="11"/>
        <color rgb="FF000000"/>
        <rFont val="Calibri"/>
      </rPr>
      <t>B</t>
    </r>
    <r>
      <rPr>
        <sz val="11"/>
        <color rgb="FF000000"/>
        <rFont val="Calibri"/>
      </rPr>
      <t xml:space="preserve"> = Jumlah calon mahasiswa yang lulus seleksi.</t>
    </r>
  </si>
  <si>
    <r>
      <t>Rasio = N</t>
    </r>
    <r>
      <rPr>
        <vertAlign val="subscript"/>
        <sz val="11"/>
        <color rgb="FF000000"/>
        <rFont val="Calibri"/>
      </rPr>
      <t>A</t>
    </r>
    <r>
      <rPr>
        <sz val="11"/>
        <color rgb="FF000000"/>
        <rFont val="Calibri"/>
      </rPr>
      <t xml:space="preserve"> / N</t>
    </r>
    <r>
      <rPr>
        <vertAlign val="subscript"/>
        <sz val="11"/>
        <color rgb="FF000000"/>
        <rFont val="Calibri"/>
      </rPr>
      <t>B</t>
    </r>
  </si>
  <si>
    <t>b =</t>
  </si>
  <si>
    <t>Untuk program studi dengan jumlah kebutuhan lulusan rendah berlaku pemberian Skor sesuai kondisi berikut:</t>
  </si>
  <si>
    <t>Jika selalu ada mahasiswa baru terdaftar pada TS-4 s.d. TS.</t>
  </si>
  <si>
    <t>Tidak ada skor antara 2 dan 4.</t>
  </si>
  <si>
    <t>Jika tidak selalu ada mahasiswa baru terdaftar pada TS-4 s.d. TS.</t>
  </si>
  <si>
    <t>Tidak ada skor antara 0 dan 2.</t>
  </si>
  <si>
    <t>Jika tidak ada mahasiswa baru terdaftar pada TS-4 s.d. TS.</t>
  </si>
  <si>
    <t>C.3.4.b) Daya Tarik Program Studi</t>
  </si>
  <si>
    <t>A. Peningkatan animo calon mahasiswa.
Tabel 2.a LKPS</t>
  </si>
  <si>
    <t>UPPS melakukan upaya untuk meningkatkan animo calon mahasiswa yang ditunjukkan dengan adanya tren peningkatan jumlah pendaftar secara signifikan (&gt; 10%) dalam 3 tahun terakhir.</t>
  </si>
  <si>
    <t>UPPS melakukan upaya untuk meningkatkan animo calon mahasiswa yang ditunjukkan dengan adanya tren peningkatan jumlah pendaftar dalam 3 tahun terakhir.</t>
  </si>
  <si>
    <t xml:space="preserve">UPPS melakukan upaya untuk meningkatkan animo calon mahasiswa dalam 3 tahun terakhir dengan tren tetap. </t>
  </si>
  <si>
    <t xml:space="preserve">UPPS melakukan upaya untuk meningkatkan animo calon mahasiswa dalam 3 tahun terakhir namun trennya menurun. </t>
  </si>
  <si>
    <t xml:space="preserve">UPPS tidak melakukan upaya untuk meningkatkan animo calon mahasiswa dalam 3 tahun terakhir. </t>
  </si>
  <si>
    <t>B. Mahasiswa asing.
Tabel 2.b LKPS</t>
  </si>
  <si>
    <r>
      <t>N</t>
    </r>
    <r>
      <rPr>
        <vertAlign val="subscript"/>
        <sz val="11"/>
        <color rgb="FF000000"/>
        <rFont val="Calibri"/>
      </rPr>
      <t>MUPPS</t>
    </r>
    <r>
      <rPr>
        <sz val="11"/>
        <color rgb="FF000000"/>
        <rFont val="Calibri"/>
      </rPr>
      <t xml:space="preserve"> = Jumlah mahasiswa aktif di UPPS dalam 3 tahun terakhir (TS-2 s.d. TS).</t>
    </r>
  </si>
  <si>
    <r>
      <t>N</t>
    </r>
    <r>
      <rPr>
        <vertAlign val="subscript"/>
        <sz val="11"/>
        <color rgb="FF000000"/>
        <rFont val="Calibri"/>
      </rPr>
      <t>MAFT</t>
    </r>
    <r>
      <rPr>
        <sz val="11"/>
        <color rgb="FF000000"/>
        <rFont val="Calibri"/>
      </rPr>
      <t xml:space="preserve"> = Jumlah mahasiswa asing penuh waktu dalam 3 tahun terakhir (TS-2 s.d. TS)</t>
    </r>
  </si>
  <si>
    <r>
      <t>N</t>
    </r>
    <r>
      <rPr>
        <vertAlign val="subscript"/>
        <sz val="11"/>
        <color rgb="FF000000"/>
        <rFont val="Calibri"/>
      </rPr>
      <t>MAPT</t>
    </r>
    <r>
      <rPr>
        <sz val="11"/>
        <color rgb="FF000000"/>
        <rFont val="Calibri"/>
      </rPr>
      <t xml:space="preserve"> = Jumlah mahasiswa asing paruh waktu dalam 3 tahun terakhir (TS-2 s.d. TS)</t>
    </r>
  </si>
  <si>
    <r>
      <t>P</t>
    </r>
    <r>
      <rPr>
        <vertAlign val="subscript"/>
        <sz val="11"/>
        <color rgb="FF000000"/>
        <rFont val="Calibri"/>
      </rPr>
      <t>MA</t>
    </r>
    <r>
      <rPr>
        <sz val="11"/>
        <color rgb="FF000000"/>
        <rFont val="Calibri"/>
      </rPr>
      <t xml:space="preserve"> = (N</t>
    </r>
    <r>
      <rPr>
        <vertAlign val="subscript"/>
        <sz val="11"/>
        <color rgb="FF000000"/>
        <rFont val="Calibri"/>
      </rPr>
      <t>MAFT</t>
    </r>
    <r>
      <rPr>
        <sz val="11"/>
        <color rgb="FF000000"/>
        <rFont val="Calibri"/>
      </rPr>
      <t xml:space="preserve"> + N</t>
    </r>
    <r>
      <rPr>
        <vertAlign val="subscript"/>
        <sz val="11"/>
        <color rgb="FF000000"/>
        <rFont val="Calibri"/>
      </rPr>
      <t>MAPT</t>
    </r>
    <r>
      <rPr>
        <sz val="11"/>
        <color rgb="FF000000"/>
        <rFont val="Calibri"/>
      </rPr>
      <t>) / N</t>
    </r>
    <r>
      <rPr>
        <vertAlign val="subscript"/>
        <sz val="11"/>
        <color rgb="FF000000"/>
        <rFont val="Calibri"/>
      </rPr>
      <t>MUPPS</t>
    </r>
  </si>
  <si>
    <t>C.3.4.c) 
Layanan Kemahasiswaan</t>
  </si>
  <si>
    <t>A. Ketersediaan layanan kemahasiswaan di bidang: 
1) penalaran, minat dan bakat,
2) kesejahteraan (bimbingan dan konseling, layanan beasiswa, dan layanan kesehatan), dan
3) bimbingan karir dan kewirausahaan.</t>
  </si>
  <si>
    <t>Jenis layanan mencakup bidang penalaran, minat dan bakat,  kesejahteraan (bimbingan dan konseling, layanan beasiswa, dan layanan kesehatan), dan bimbingan karir dan kewirausahaan.</t>
  </si>
  <si>
    <t>Jenis layanan mencakup bidang penalaran, minat dan bakat, dan kesejahteraan (bimbingan dan konseling, layanan beasiswa, dan layanan kesehatan).</t>
  </si>
  <si>
    <t>Jenis layanan mencakup bidang penalaran, minat dan bakat mahasiswa.</t>
  </si>
  <si>
    <t>Jenis layanan hanya mencakup sebagian bidang penalaran, minat atau bakat.</t>
  </si>
  <si>
    <t>Tidak memiliki layanan kemahasiswaan.</t>
  </si>
  <si>
    <t>B. Akses dan mutu layanan kemahasiswaan.</t>
  </si>
  <si>
    <t>Ada kemudahan akses dan mutu layanan yang baik untuk bidang penalaran, minat bakat mahasiswa dan semua jenis layanan kesehatan.</t>
  </si>
  <si>
    <t>Ada kemudahan akses dan mutu layanan yang baik untuk bidang penalaran, minat bakat mahasiswa dan sebagian layanan kesehatan.</t>
  </si>
  <si>
    <t xml:space="preserve">Ada kemudahan akses dan mutu layanan yang baik untuk bidang penalaran dan minat bakat mahasiswa. </t>
  </si>
  <si>
    <t xml:space="preserve">Mutu layanan kurang baik untuk bidang penalaran atau minat bakat mahasiswa. </t>
  </si>
  <si>
    <r>
      <rPr>
        <b/>
        <sz val="11"/>
        <color rgb="FF000000"/>
        <rFont val="Calibri"/>
      </rPr>
      <t>C.4. Sumber Daya Manusia</t>
    </r>
    <r>
      <rPr>
        <sz val="11"/>
        <color rgb="FF000000"/>
        <rFont val="Calibri"/>
      </rPr>
      <t xml:space="preserve">
C.4.4. Indikator Kinerja Utama
C.4.4.a) Profil Dosen</t>
    </r>
  </si>
  <si>
    <t>Kecukupan jumlah DTPS.
Tabel 3.a.1) LKPS</t>
  </si>
  <si>
    <t>b1 =</t>
  </si>
  <si>
    <t>b2 =</t>
  </si>
  <si>
    <t>Kualifikasi akademik DTPS.
Tabel 3.a.1) LKPS</t>
  </si>
  <si>
    <r>
      <t>N</t>
    </r>
    <r>
      <rPr>
        <vertAlign val="subscript"/>
        <sz val="11"/>
        <color rgb="FF000000"/>
        <rFont val="Calibri"/>
      </rPr>
      <t>DS3</t>
    </r>
    <r>
      <rPr>
        <sz val="11"/>
        <color rgb="FF000000"/>
        <rFont val="Calibri"/>
      </rPr>
      <t xml:space="preserve"> = Jumlah DTPS yang berpendidikan tertinggi Doktor/Doktor Terapan/Subspesialis.</t>
    </r>
  </si>
  <si>
    <r>
      <t>P</t>
    </r>
    <r>
      <rPr>
        <vertAlign val="subscript"/>
        <sz val="11"/>
        <color rgb="FF000000"/>
        <rFont val="Calibri"/>
      </rPr>
      <t>DS3</t>
    </r>
    <r>
      <rPr>
        <sz val="11"/>
        <color rgb="FF000000"/>
        <rFont val="Calibri"/>
      </rPr>
      <t xml:space="preserve"> = (N</t>
    </r>
    <r>
      <rPr>
        <vertAlign val="subscript"/>
        <sz val="11"/>
        <color rgb="FF000000"/>
        <rFont val="Calibri"/>
      </rPr>
      <t>DS3</t>
    </r>
    <r>
      <rPr>
        <sz val="11"/>
        <color rgb="FF000000"/>
        <rFont val="Calibri"/>
      </rPr>
      <t xml:space="preserve"> / N</t>
    </r>
    <r>
      <rPr>
        <vertAlign val="subscript"/>
        <sz val="11"/>
        <color rgb="FF000000"/>
        <rFont val="Calibri"/>
      </rPr>
      <t>DTPS</t>
    </r>
    <r>
      <rPr>
        <sz val="11"/>
        <color rgb="FF000000"/>
        <rFont val="Calibri"/>
      </rPr>
      <t>) x 100%</t>
    </r>
  </si>
  <si>
    <t>Jabatan akademik DTPS.
Tabel 3.a.1) LKPS</t>
  </si>
  <si>
    <r>
      <t>N</t>
    </r>
    <r>
      <rPr>
        <vertAlign val="subscript"/>
        <sz val="11"/>
        <color rgb="FF000000"/>
        <rFont val="Calibri"/>
      </rPr>
      <t>DGB</t>
    </r>
    <r>
      <rPr>
        <sz val="11"/>
        <color rgb="FF000000"/>
        <rFont val="Calibri"/>
      </rPr>
      <t xml:space="preserve"> = Jumlah DTPS yang memiliki jabatan akademik Guru Besar.</t>
    </r>
  </si>
  <si>
    <r>
      <t>N</t>
    </r>
    <r>
      <rPr>
        <vertAlign val="subscript"/>
        <sz val="11"/>
        <color rgb="FF000000"/>
        <rFont val="Calibri"/>
      </rPr>
      <t>DLK</t>
    </r>
    <r>
      <rPr>
        <sz val="11"/>
        <color rgb="FF000000"/>
        <rFont val="Calibri"/>
      </rPr>
      <t xml:space="preserve"> = Jumlah DTPS yang memiliki jabatan akademik Lektor Kepala.</t>
    </r>
  </si>
  <si>
    <r>
      <t>N</t>
    </r>
    <r>
      <rPr>
        <vertAlign val="subscript"/>
        <sz val="11"/>
        <color rgb="FF000000"/>
        <rFont val="Calibri"/>
      </rPr>
      <t>DL</t>
    </r>
    <r>
      <rPr>
        <sz val="11"/>
        <color rgb="FF000000"/>
        <rFont val="Calibri"/>
      </rPr>
      <t xml:space="preserve"> = Jumlah DTPS tetap yang memiliki jabatan akademik Lektor.</t>
    </r>
  </si>
  <si>
    <r>
      <t>P</t>
    </r>
    <r>
      <rPr>
        <vertAlign val="subscript"/>
        <sz val="11"/>
        <color rgb="FF000000"/>
        <rFont val="Calibri"/>
      </rPr>
      <t>GBLKL</t>
    </r>
    <r>
      <rPr>
        <sz val="11"/>
        <color rgb="FF000000"/>
        <rFont val="Calibri"/>
      </rPr>
      <t xml:space="preserve"> = ((N</t>
    </r>
    <r>
      <rPr>
        <vertAlign val="subscript"/>
        <sz val="11"/>
        <color rgb="FF000000"/>
        <rFont val="Calibri"/>
      </rPr>
      <t>DGB</t>
    </r>
    <r>
      <rPr>
        <sz val="11"/>
        <color rgb="FF000000"/>
        <rFont val="Calibri"/>
      </rPr>
      <t xml:space="preserve"> + N</t>
    </r>
    <r>
      <rPr>
        <vertAlign val="subscript"/>
        <sz val="11"/>
        <color rgb="FF000000"/>
        <rFont val="Calibri"/>
      </rPr>
      <t>DLK</t>
    </r>
    <r>
      <rPr>
        <sz val="11"/>
        <color rgb="FF000000"/>
        <rFont val="Calibri"/>
      </rPr>
      <t xml:space="preserve"> + N</t>
    </r>
    <r>
      <rPr>
        <vertAlign val="subscript"/>
        <sz val="11"/>
        <color rgb="FF000000"/>
        <rFont val="Calibri"/>
      </rPr>
      <t>DL</t>
    </r>
    <r>
      <rPr>
        <sz val="11"/>
        <color rgb="FF000000"/>
        <rFont val="Calibri"/>
      </rPr>
      <t>) / N</t>
    </r>
    <r>
      <rPr>
        <vertAlign val="subscript"/>
        <sz val="11"/>
        <color rgb="FF000000"/>
        <rFont val="Calibri"/>
      </rPr>
      <t>DTPS</t>
    </r>
    <r>
      <rPr>
        <sz val="11"/>
        <color rgb="FF000000"/>
        <rFont val="Calibri"/>
      </rPr>
      <t>) x 100%</t>
    </r>
  </si>
  <si>
    <t>Rasio jumlah mahasiswa program studi terhadap jumlah DTPS.
Tabel 2.a LKPS dan Tabel 3.a.1) LKPS</t>
  </si>
  <si>
    <t>Pilih kelompok program studi sesuai pilihan yang tersedia.
1: Saintek (Sains Teknologi); 2: Soshum (Sosial Humaniora)</t>
  </si>
  <si>
    <t>Saintek</t>
  </si>
  <si>
    <t>1: Kelompok Sains Teknologi</t>
  </si>
  <si>
    <t>2: Kelompok Sosial Humaniora</t>
  </si>
  <si>
    <t>Soshum</t>
  </si>
  <si>
    <r>
      <t>N</t>
    </r>
    <r>
      <rPr>
        <vertAlign val="subscript"/>
        <sz val="11"/>
        <color rgb="FF000000"/>
        <rFont val="Calibri"/>
      </rPr>
      <t>M</t>
    </r>
    <r>
      <rPr>
        <sz val="11"/>
        <color rgb="FF000000"/>
        <rFont val="Calibri"/>
      </rPr>
      <t xml:space="preserve"> = Jumlah mahasiswa pada saat TS.</t>
    </r>
  </si>
  <si>
    <r>
      <t>R</t>
    </r>
    <r>
      <rPr>
        <vertAlign val="subscript"/>
        <sz val="11"/>
        <color rgb="FF000000"/>
        <rFont val="Calibri"/>
      </rPr>
      <t>MD</t>
    </r>
    <r>
      <rPr>
        <sz val="11"/>
        <color rgb="FF000000"/>
        <rFont val="Calibri"/>
      </rPr>
      <t xml:space="preserve"> = N</t>
    </r>
    <r>
      <rPr>
        <vertAlign val="subscript"/>
        <sz val="11"/>
        <color rgb="FF000000"/>
        <rFont val="Calibri"/>
      </rPr>
      <t>M</t>
    </r>
    <r>
      <rPr>
        <sz val="11"/>
        <color rgb="FF000000"/>
        <rFont val="Calibri"/>
      </rPr>
      <t xml:space="preserve"> / N</t>
    </r>
    <r>
      <rPr>
        <vertAlign val="subscript"/>
        <sz val="11"/>
        <color rgb="FF000000"/>
        <rFont val="Calibri"/>
      </rPr>
      <t>DTPS</t>
    </r>
  </si>
  <si>
    <t>Skor Saintek</t>
  </si>
  <si>
    <t>b3 =</t>
  </si>
  <si>
    <t>Skor Soshum</t>
  </si>
  <si>
    <t>Lihat nomor butir 14.
Kelompok program studi berdasarkan jumlah kebutuhan lulusan.</t>
  </si>
  <si>
    <t>Untuk program studi dengan jumlah kebutuhan lulusan rendah, berlaku Skor = Skor butir Kualitas Input Mahasiswa</t>
  </si>
  <si>
    <t xml:space="preserve">Penugasan DTPS sebagai pembimbing utama tugas akhir mahasiswa.
Tabel 3.a.2) LKPS </t>
  </si>
  <si>
    <r>
      <t>R</t>
    </r>
    <r>
      <rPr>
        <vertAlign val="subscript"/>
        <sz val="11"/>
        <color rgb="FF000000"/>
        <rFont val="Calibri"/>
      </rPr>
      <t>DPUPS</t>
    </r>
    <r>
      <rPr>
        <sz val="11"/>
        <color rgb="FF000000"/>
        <rFont val="Calibri"/>
      </rPr>
      <t xml:space="preserve"> = Rata-rata jumlah mahasiswa yang dibimbing pada PS yang diakreditasi</t>
    </r>
  </si>
  <si>
    <r>
      <t>R</t>
    </r>
    <r>
      <rPr>
        <vertAlign val="subscript"/>
        <sz val="11"/>
        <color rgb="FF000000"/>
        <rFont val="Calibri"/>
      </rPr>
      <t>DPUL</t>
    </r>
    <r>
      <rPr>
        <sz val="11"/>
        <color rgb="FF000000"/>
        <rFont val="Calibri"/>
      </rPr>
      <t xml:space="preserve"> = Rata-rata jumlah mahasiswa yang dibimbing pada PS lain di PT</t>
    </r>
  </si>
  <si>
    <r>
      <t>R</t>
    </r>
    <r>
      <rPr>
        <vertAlign val="subscript"/>
        <sz val="11"/>
        <color rgb="FF000000"/>
        <rFont val="Calibri"/>
      </rPr>
      <t>DPU</t>
    </r>
    <r>
      <rPr>
        <sz val="11"/>
        <color rgb="FF000000"/>
        <rFont val="Calibri"/>
      </rPr>
      <t xml:space="preserve"> </t>
    </r>
    <r>
      <rPr>
        <sz val="11"/>
        <color rgb="FF000000"/>
        <rFont val="Calibri"/>
      </rPr>
      <t>= (RDUPS + RDPUL) / 2</t>
    </r>
  </si>
  <si>
    <t>Ekuivalensi Waktu Mengajar Penuh DTPS.
Tabel 3.a.3) LKPS</t>
  </si>
  <si>
    <r>
      <t>EWMP</t>
    </r>
    <r>
      <rPr>
        <vertAlign val="subscript"/>
        <sz val="11"/>
        <color rgb="FF000000"/>
        <rFont val="Calibri"/>
      </rPr>
      <t>DT</t>
    </r>
    <r>
      <rPr>
        <sz val="11"/>
        <color rgb="FF000000"/>
        <rFont val="Calibri"/>
      </rPr>
      <t xml:space="preserve"> = Rata-rata EWMP DT per semester pada saat TS.</t>
    </r>
  </si>
  <si>
    <r>
      <t>EWMP</t>
    </r>
    <r>
      <rPr>
        <vertAlign val="subscript"/>
        <sz val="11"/>
        <color rgb="FF000000"/>
        <rFont val="Calibri"/>
      </rPr>
      <t>DTPS</t>
    </r>
    <r>
      <rPr>
        <sz val="11"/>
        <color rgb="FF000000"/>
        <rFont val="Calibri"/>
      </rPr>
      <t xml:space="preserve"> = Rata-rata EWMP DTPS per semester pada saat TS.</t>
    </r>
  </si>
  <si>
    <r>
      <t>EWMP = EWMP</t>
    </r>
    <r>
      <rPr>
        <vertAlign val="subscript"/>
        <sz val="11"/>
        <color rgb="FF000000"/>
        <rFont val="Calibri"/>
      </rPr>
      <t>DTPS</t>
    </r>
  </si>
  <si>
    <t>b4 =</t>
  </si>
  <si>
    <t>Dosen tidak tetap.
Tabel 3.a.4) LKPS</t>
  </si>
  <si>
    <r>
      <t>N</t>
    </r>
    <r>
      <rPr>
        <vertAlign val="subscript"/>
        <sz val="11"/>
        <color rgb="FF000000"/>
        <rFont val="Calibri"/>
      </rPr>
      <t>DTT</t>
    </r>
    <r>
      <rPr>
        <sz val="11"/>
        <color rgb="FF000000"/>
        <rFont val="Calibri"/>
      </rPr>
      <t xml:space="preserve"> = Jumlah dosen tidak tetap yang ditugaskan sebagai pengampu mata kuliah di program studi yang diakreditasi.</t>
    </r>
  </si>
  <si>
    <r>
      <t>N</t>
    </r>
    <r>
      <rPr>
        <vertAlign val="subscript"/>
        <sz val="11"/>
        <color rgb="FF000000"/>
        <rFont val="Calibri"/>
      </rPr>
      <t>DT</t>
    </r>
    <r>
      <rPr>
        <sz val="11"/>
        <color rgb="FF000000"/>
        <rFont val="Calibri"/>
      </rPr>
      <t xml:space="preserve"> = Jumlah dosen tetap yang ditugaskan sebagai pengampu mata kuliah di program studi yang diakreditasi.</t>
    </r>
  </si>
  <si>
    <r>
      <t>P</t>
    </r>
    <r>
      <rPr>
        <vertAlign val="subscript"/>
        <sz val="11"/>
        <color rgb="FF000000"/>
        <rFont val="Calibri"/>
      </rPr>
      <t>DTT</t>
    </r>
    <r>
      <rPr>
        <sz val="11"/>
        <color rgb="FF000000"/>
        <rFont val="Calibri"/>
      </rPr>
      <t xml:space="preserve"> = (N</t>
    </r>
    <r>
      <rPr>
        <vertAlign val="subscript"/>
        <sz val="11"/>
        <color rgb="FF000000"/>
        <rFont val="Calibri"/>
      </rPr>
      <t>DTT</t>
    </r>
    <r>
      <rPr>
        <sz val="11"/>
        <color rgb="FF000000"/>
        <rFont val="Calibri"/>
      </rPr>
      <t xml:space="preserve"> / (N</t>
    </r>
    <r>
      <rPr>
        <vertAlign val="subscript"/>
        <sz val="11"/>
        <color rgb="FF000000"/>
        <rFont val="Calibri"/>
      </rPr>
      <t>DTT</t>
    </r>
    <r>
      <rPr>
        <sz val="11"/>
        <color rgb="FF000000"/>
        <rFont val="Calibri"/>
      </rPr>
      <t xml:space="preserve"> + N</t>
    </r>
    <r>
      <rPr>
        <vertAlign val="subscript"/>
        <sz val="11"/>
        <color rgb="FF000000"/>
        <rFont val="Calibri"/>
      </rPr>
      <t>DT</t>
    </r>
    <r>
      <rPr>
        <sz val="11"/>
        <color rgb="FF000000"/>
        <rFont val="Calibri"/>
      </rPr>
      <t>)) x 100%</t>
    </r>
  </si>
  <si>
    <t>C.4.4.b) Kinerja Dosen</t>
  </si>
  <si>
    <t>Pengakuan/rekognisi atas kepakaran/prestasi/kinerja DTPS.
Pengakuan/rekognisi atas kepakaran/prestasi/kinerja DTPS dapat berupa:
a) menjadi visiting lecturer atau visiting scholar di program studi/perguruan tinggi terakreditasi A/Unggul atau program studi/perguruan tinggi internasional bereputasi.
b) menjadi keynote speaker/invited speaker pada pertemuan ilmiah tingkat nasional/ internasional.
c) menjadi editor atau mitra bestari pada jurnal nasional terakreditasi/jurnal internasional bereputasi di bidang yang sesuai dengan bidang program studi.
d) menjadi staf ahli/narasumber di lembaga tingkat wilayah/nasional/internasional pada bidang yang sesuai dengan bidang program studi (untuk pengusul dari program studi pada program Sarjana/Magister/Doktor), atau menjadi tenaga ahli/konsultan di lembaga/industri tingkat wilayah/nasional/ internasional pada bidang yang sesuai dengan bidang program studi (untuk pengusul dari program studi pada program Diploma Tiga/Sarjana Terapan/Magister Terapan/Doktor Terapan).
e) mendapat penghargaan atas prestasi dan kinerja di tingkat wilayah/nasional/internasional.
Tabel 3.b.1) LKPS</t>
  </si>
  <si>
    <r>
      <t>N</t>
    </r>
    <r>
      <rPr>
        <vertAlign val="subscript"/>
        <sz val="11"/>
        <color rgb="FF000000"/>
        <rFont val="Calibri"/>
      </rPr>
      <t>RD</t>
    </r>
    <r>
      <rPr>
        <sz val="11"/>
        <color rgb="FF000000"/>
        <rFont val="Calibri"/>
      </rPr>
      <t xml:space="preserve"> = Jumlah pengakuan atas prestasi/kinerja DTPS yang relevan dengan bidang keahlian dalam 3 tahun terakhir.</t>
    </r>
  </si>
  <si>
    <r>
      <t>R</t>
    </r>
    <r>
      <rPr>
        <vertAlign val="subscript"/>
        <sz val="11"/>
        <color rgb="FF000000"/>
        <rFont val="Calibri"/>
      </rPr>
      <t>RD</t>
    </r>
    <r>
      <rPr>
        <sz val="11"/>
        <color rgb="FF000000"/>
        <rFont val="Calibri"/>
      </rPr>
      <t xml:space="preserve"> = N</t>
    </r>
    <r>
      <rPr>
        <vertAlign val="subscript"/>
        <sz val="11"/>
        <color rgb="FF000000"/>
        <rFont val="Calibri"/>
      </rPr>
      <t>RD</t>
    </r>
    <r>
      <rPr>
        <sz val="11"/>
        <color rgb="FF000000"/>
        <rFont val="Calibri"/>
      </rPr>
      <t xml:space="preserve"> / N</t>
    </r>
    <r>
      <rPr>
        <vertAlign val="subscript"/>
        <sz val="11"/>
        <color rgb="FF000000"/>
        <rFont val="Calibri"/>
      </rPr>
      <t>DTPS</t>
    </r>
    <r>
      <rPr>
        <sz val="11"/>
        <color rgb="FF000000"/>
        <rFont val="Calibri"/>
      </rPr>
      <t xml:space="preserve"> </t>
    </r>
  </si>
  <si>
    <t>Kegiatan penelitian DTPS yang relevan dengan bidang program studi dalam 3 tahun terakhir.
Tabel 3.b.2) LKPS</t>
  </si>
  <si>
    <r>
      <t>N</t>
    </r>
    <r>
      <rPr>
        <vertAlign val="subscript"/>
        <sz val="11"/>
        <color rgb="FF000000"/>
        <rFont val="Calibri"/>
      </rPr>
      <t>I</t>
    </r>
    <r>
      <rPr>
        <sz val="11"/>
        <color rgb="FF000000"/>
        <rFont val="Calibri"/>
      </rPr>
      <t xml:space="preserve"> = Jumlah penelitian dengan sumber pembiayaan luar negeri dalam 3 tahun terakhir.</t>
    </r>
  </si>
  <si>
    <r>
      <t>N</t>
    </r>
    <r>
      <rPr>
        <vertAlign val="subscript"/>
        <sz val="11"/>
        <color rgb="FF000000"/>
        <rFont val="Calibri"/>
      </rPr>
      <t>N</t>
    </r>
    <r>
      <rPr>
        <sz val="11"/>
        <color rgb="FF000000"/>
        <rFont val="Calibri"/>
      </rPr>
      <t xml:space="preserve"> = Jumlah penelitian dengan sumber pembiayaan dalam negeri dalam 3 tahun terakhir.</t>
    </r>
  </si>
  <si>
    <r>
      <t>N</t>
    </r>
    <r>
      <rPr>
        <vertAlign val="subscript"/>
        <sz val="11"/>
        <color rgb="FF000000"/>
        <rFont val="Calibri"/>
      </rPr>
      <t>L</t>
    </r>
    <r>
      <rPr>
        <sz val="11"/>
        <color rgb="FF000000"/>
        <rFont val="Calibri"/>
      </rPr>
      <t xml:space="preserve"> = Jumlah penelitian dengan sumber pembiayaan PT/mandiri dalam 3 tahun terakhir.</t>
    </r>
  </si>
  <si>
    <r>
      <t>R</t>
    </r>
    <r>
      <rPr>
        <vertAlign val="subscript"/>
        <sz val="11"/>
        <color rgb="FF000000"/>
        <rFont val="Calibri"/>
      </rPr>
      <t>I</t>
    </r>
    <r>
      <rPr>
        <sz val="11"/>
        <color rgb="FF000000"/>
        <rFont val="Calibri"/>
      </rPr>
      <t xml:space="preserve"> = N</t>
    </r>
    <r>
      <rPr>
        <vertAlign val="subscript"/>
        <sz val="11"/>
        <color rgb="FF000000"/>
        <rFont val="Calibri"/>
      </rPr>
      <t>I</t>
    </r>
    <r>
      <rPr>
        <sz val="11"/>
        <color rgb="FF000000"/>
        <rFont val="Calibri"/>
      </rPr>
      <t xml:space="preserve"> / 3 / N</t>
    </r>
    <r>
      <rPr>
        <vertAlign val="subscript"/>
        <sz val="11"/>
        <color rgb="FF000000"/>
        <rFont val="Calibri"/>
      </rPr>
      <t>DTPS</t>
    </r>
  </si>
  <si>
    <r>
      <t>R</t>
    </r>
    <r>
      <rPr>
        <vertAlign val="subscript"/>
        <sz val="11"/>
        <color rgb="FF000000"/>
        <rFont val="Calibri"/>
      </rPr>
      <t>N</t>
    </r>
    <r>
      <rPr>
        <sz val="11"/>
        <color rgb="FF000000"/>
        <rFont val="Calibri"/>
      </rPr>
      <t xml:space="preserve"> = N</t>
    </r>
    <r>
      <rPr>
        <vertAlign val="subscript"/>
        <sz val="11"/>
        <color rgb="FF000000"/>
        <rFont val="Calibri"/>
      </rPr>
      <t>N</t>
    </r>
    <r>
      <rPr>
        <sz val="11"/>
        <color rgb="FF000000"/>
        <rFont val="Calibri"/>
      </rPr>
      <t xml:space="preserve"> / 3 / N</t>
    </r>
    <r>
      <rPr>
        <vertAlign val="subscript"/>
        <sz val="11"/>
        <color rgb="FF000000"/>
        <rFont val="Calibri"/>
      </rPr>
      <t>DTPS</t>
    </r>
  </si>
  <si>
    <r>
      <t>R</t>
    </r>
    <r>
      <rPr>
        <vertAlign val="subscript"/>
        <sz val="11"/>
        <color rgb="FF000000"/>
        <rFont val="Calibri"/>
      </rPr>
      <t>L</t>
    </r>
    <r>
      <rPr>
        <sz val="11"/>
        <color rgb="FF000000"/>
        <rFont val="Calibri"/>
      </rPr>
      <t xml:space="preserve"> = N</t>
    </r>
    <r>
      <rPr>
        <vertAlign val="subscript"/>
        <sz val="11"/>
        <color rgb="FF000000"/>
        <rFont val="Calibri"/>
      </rPr>
      <t>L</t>
    </r>
    <r>
      <rPr>
        <sz val="11"/>
        <color rgb="FF000000"/>
        <rFont val="Calibri"/>
      </rPr>
      <t xml:space="preserve"> / 3 / N</t>
    </r>
    <r>
      <rPr>
        <vertAlign val="subscript"/>
        <sz val="11"/>
        <color rgb="FF000000"/>
        <rFont val="Calibri"/>
      </rPr>
      <t>DTPS</t>
    </r>
  </si>
  <si>
    <t xml:space="preserve">4: RI ≥ a </t>
  </si>
  <si>
    <r>
      <t xml:space="preserve">3-4: RI &lt; a DAN RN </t>
    </r>
    <r>
      <rPr>
        <sz val="11"/>
        <color rgb="FFFFFFFF"/>
        <rFont val="Calibri"/>
      </rPr>
      <t>≥</t>
    </r>
    <r>
      <rPr>
        <sz val="11"/>
        <color rgb="FFFFFFFF"/>
        <rFont val="Calibri"/>
      </rPr>
      <t xml:space="preserve"> b</t>
    </r>
  </si>
  <si>
    <t>2-3: 0 &lt; RI &lt; a DAN 0 &lt; RN &lt; b</t>
  </si>
  <si>
    <t>2: RI = 0 DAN RN = 0 DAN RL ≥ c</t>
  </si>
  <si>
    <t>0-2: RI = 0 DAN RN = 0 DAN RL &lt; c</t>
  </si>
  <si>
    <t>Kegiatan PkM DTPS yang relevan dengan bidang program studi dalam 3 tahun terakhir.
Tabel 3.b.3) LKPS</t>
  </si>
  <si>
    <r>
      <t>N</t>
    </r>
    <r>
      <rPr>
        <vertAlign val="subscript"/>
        <sz val="11"/>
        <color rgb="FF000000"/>
        <rFont val="Calibri"/>
      </rPr>
      <t>I</t>
    </r>
    <r>
      <rPr>
        <sz val="11"/>
        <color rgb="FF000000"/>
        <rFont val="Calibri"/>
      </rPr>
      <t xml:space="preserve"> = Jumlah PkM dengan sumber pembiayaan luar negeri dalam 3 tahun terakhir.</t>
    </r>
  </si>
  <si>
    <r>
      <t>N</t>
    </r>
    <r>
      <rPr>
        <vertAlign val="subscript"/>
        <sz val="11"/>
        <color rgb="FF000000"/>
        <rFont val="Calibri"/>
      </rPr>
      <t>N</t>
    </r>
    <r>
      <rPr>
        <sz val="11"/>
        <color rgb="FF000000"/>
        <rFont val="Calibri"/>
      </rPr>
      <t xml:space="preserve"> = Jumlah PkM dengan sumber pembiayaan dalam negeri dalam 3 tahun terakhir.</t>
    </r>
  </si>
  <si>
    <r>
      <t>N</t>
    </r>
    <r>
      <rPr>
        <vertAlign val="subscript"/>
        <sz val="11"/>
        <color rgb="FF000000"/>
        <rFont val="Calibri"/>
      </rPr>
      <t>L</t>
    </r>
    <r>
      <rPr>
        <sz val="11"/>
        <color rgb="FF000000"/>
        <rFont val="Calibri"/>
      </rPr>
      <t xml:space="preserve"> = Jumlah PkM dengan sumber pembiayaan PT/mandiri dalam 3 tahun terakhir.</t>
    </r>
  </si>
  <si>
    <t>Publikasi ilmiah dengan tema yang relevan dengan bidang program studi yang dihasilkan DTPS dalam 3 tahun terakhir.
Tabel 3.b.4) LKPS</t>
  </si>
  <si>
    <r>
      <t>N</t>
    </r>
    <r>
      <rPr>
        <vertAlign val="subscript"/>
        <sz val="11"/>
        <color rgb="FF000000"/>
        <rFont val="Calibri"/>
      </rPr>
      <t>A1</t>
    </r>
    <r>
      <rPr>
        <sz val="11"/>
        <color rgb="FF000000"/>
        <rFont val="Calibri"/>
      </rPr>
      <t xml:space="preserve"> = Jumlah publikasi di jurnal nasional tidak terakreditasi.</t>
    </r>
  </si>
  <si>
    <r>
      <t>N</t>
    </r>
    <r>
      <rPr>
        <vertAlign val="subscript"/>
        <sz val="11"/>
        <color rgb="FF000000"/>
        <rFont val="Calibri"/>
      </rPr>
      <t>A2</t>
    </r>
    <r>
      <rPr>
        <sz val="11"/>
        <color rgb="FF000000"/>
        <rFont val="Calibri"/>
      </rPr>
      <t xml:space="preserve"> = Jumlah publikasi di jurnal nasional terakreditasi.</t>
    </r>
  </si>
  <si>
    <r>
      <t>N</t>
    </r>
    <r>
      <rPr>
        <vertAlign val="subscript"/>
        <sz val="11"/>
        <color rgb="FF000000"/>
        <rFont val="Calibri"/>
      </rPr>
      <t>A3</t>
    </r>
    <r>
      <rPr>
        <sz val="11"/>
        <color rgb="FF000000"/>
        <rFont val="Calibri"/>
      </rPr>
      <t xml:space="preserve"> = Jumlah publikasi di jurnal internasional.</t>
    </r>
  </si>
  <si>
    <r>
      <t>N</t>
    </r>
    <r>
      <rPr>
        <vertAlign val="subscript"/>
        <sz val="11"/>
        <color rgb="FF000000"/>
        <rFont val="Calibri"/>
      </rPr>
      <t>A4</t>
    </r>
    <r>
      <rPr>
        <sz val="11"/>
        <color rgb="FF000000"/>
        <rFont val="Calibri"/>
      </rPr>
      <t xml:space="preserve"> = Jumlah publikasi di jurnal internasional bereputasi.</t>
    </r>
  </si>
  <si>
    <r>
      <t>N</t>
    </r>
    <r>
      <rPr>
        <vertAlign val="subscript"/>
        <sz val="11"/>
        <color rgb="FF000000"/>
        <rFont val="Calibri"/>
      </rPr>
      <t>B1</t>
    </r>
    <r>
      <rPr>
        <sz val="11"/>
        <color rgb="FF000000"/>
        <rFont val="Calibri"/>
      </rPr>
      <t xml:space="preserve"> = Jumlah publikasi di seminar wilayah/lokal/PT.</t>
    </r>
  </si>
  <si>
    <r>
      <t>N</t>
    </r>
    <r>
      <rPr>
        <vertAlign val="subscript"/>
        <sz val="11"/>
        <color rgb="FF000000"/>
        <rFont val="Calibri"/>
      </rPr>
      <t>B2</t>
    </r>
    <r>
      <rPr>
        <sz val="11"/>
        <color rgb="FF000000"/>
        <rFont val="Calibri"/>
      </rPr>
      <t xml:space="preserve"> = Jumlah publikasi di seminar nasional.</t>
    </r>
  </si>
  <si>
    <r>
      <t>N</t>
    </r>
    <r>
      <rPr>
        <vertAlign val="subscript"/>
        <sz val="11"/>
        <color rgb="FF000000"/>
        <rFont val="Calibri"/>
      </rPr>
      <t>B3</t>
    </r>
    <r>
      <rPr>
        <sz val="11"/>
        <color rgb="FF000000"/>
        <rFont val="Calibri"/>
      </rPr>
      <t xml:space="preserve"> = Jumlah publikasi di seminar internasional.</t>
    </r>
  </si>
  <si>
    <r>
      <t>N</t>
    </r>
    <r>
      <rPr>
        <vertAlign val="subscript"/>
        <sz val="11"/>
        <color rgb="FF000000"/>
        <rFont val="Calibri"/>
      </rPr>
      <t>C1</t>
    </r>
    <r>
      <rPr>
        <sz val="11"/>
        <color rgb="FF000000"/>
        <rFont val="Calibri"/>
      </rPr>
      <t xml:space="preserve"> = Jumlah tulisan di media massa wilayah.</t>
    </r>
  </si>
  <si>
    <r>
      <t>N</t>
    </r>
    <r>
      <rPr>
        <vertAlign val="subscript"/>
        <sz val="11"/>
        <color rgb="FF000000"/>
        <rFont val="Calibri"/>
      </rPr>
      <t>C2</t>
    </r>
    <r>
      <rPr>
        <sz val="11"/>
        <color rgb="FF000000"/>
        <rFont val="Calibri"/>
      </rPr>
      <t xml:space="preserve"> = Jumlah tulisan di media massa nasional.</t>
    </r>
  </si>
  <si>
    <r>
      <t>N</t>
    </r>
    <r>
      <rPr>
        <vertAlign val="subscript"/>
        <sz val="11"/>
        <color rgb="FF000000"/>
        <rFont val="Calibri"/>
      </rPr>
      <t>C3</t>
    </r>
    <r>
      <rPr>
        <sz val="11"/>
        <color rgb="FF000000"/>
        <rFont val="Calibri"/>
      </rPr>
      <t xml:space="preserve"> = Jumlah tulisan di media massa internasional.</t>
    </r>
  </si>
  <si>
    <r>
      <t>R</t>
    </r>
    <r>
      <rPr>
        <vertAlign val="subscript"/>
        <sz val="11"/>
        <color rgb="FF000000"/>
        <rFont val="Calibri"/>
      </rPr>
      <t>I</t>
    </r>
    <r>
      <rPr>
        <sz val="11"/>
        <color rgb="FF000000"/>
        <rFont val="Calibri"/>
      </rPr>
      <t xml:space="preserve"> = (N</t>
    </r>
    <r>
      <rPr>
        <vertAlign val="subscript"/>
        <sz val="11"/>
        <color rgb="FF000000"/>
        <rFont val="Calibri"/>
      </rPr>
      <t>A4</t>
    </r>
    <r>
      <rPr>
        <sz val="11"/>
        <color rgb="FF000000"/>
        <rFont val="Calibri"/>
      </rPr>
      <t xml:space="preserve"> + N</t>
    </r>
    <r>
      <rPr>
        <vertAlign val="subscript"/>
        <sz val="11"/>
        <color rgb="FF000000"/>
        <rFont val="Calibri"/>
      </rPr>
      <t>B3</t>
    </r>
    <r>
      <rPr>
        <sz val="11"/>
        <color rgb="FF000000"/>
        <rFont val="Calibri"/>
      </rPr>
      <t xml:space="preserve"> + N</t>
    </r>
    <r>
      <rPr>
        <vertAlign val="subscript"/>
        <sz val="11"/>
        <color rgb="FF000000"/>
        <rFont val="Calibri"/>
      </rPr>
      <t>C3</t>
    </r>
    <r>
      <rPr>
        <sz val="11"/>
        <color rgb="FF000000"/>
        <rFont val="Calibri"/>
      </rPr>
      <t>) / N</t>
    </r>
    <r>
      <rPr>
        <vertAlign val="subscript"/>
        <sz val="11"/>
        <color rgb="FF000000"/>
        <rFont val="Calibri"/>
      </rPr>
      <t>DTPS</t>
    </r>
  </si>
  <si>
    <r>
      <t>R</t>
    </r>
    <r>
      <rPr>
        <vertAlign val="subscript"/>
        <sz val="11"/>
        <color rgb="FF000000"/>
        <rFont val="Calibri"/>
      </rPr>
      <t>N</t>
    </r>
    <r>
      <rPr>
        <sz val="11"/>
        <color rgb="FF000000"/>
        <rFont val="Calibri"/>
      </rPr>
      <t xml:space="preserve"> = (N</t>
    </r>
    <r>
      <rPr>
        <vertAlign val="subscript"/>
        <sz val="11"/>
        <color rgb="FF000000"/>
        <rFont val="Calibri"/>
      </rPr>
      <t>A2</t>
    </r>
    <r>
      <rPr>
        <sz val="11"/>
        <color rgb="FF000000"/>
        <rFont val="Calibri"/>
      </rPr>
      <t xml:space="preserve"> + N</t>
    </r>
    <r>
      <rPr>
        <vertAlign val="subscript"/>
        <sz val="11"/>
        <color rgb="FF000000"/>
        <rFont val="Calibri"/>
      </rPr>
      <t>A3</t>
    </r>
    <r>
      <rPr>
        <sz val="11"/>
        <color rgb="FF000000"/>
        <rFont val="Calibri"/>
      </rPr>
      <t xml:space="preserve"> + N</t>
    </r>
    <r>
      <rPr>
        <vertAlign val="subscript"/>
        <sz val="11"/>
        <color rgb="FF000000"/>
        <rFont val="Calibri"/>
      </rPr>
      <t>B2</t>
    </r>
    <r>
      <rPr>
        <sz val="11"/>
        <color rgb="FF000000"/>
        <rFont val="Calibri"/>
      </rPr>
      <t xml:space="preserve"> + N</t>
    </r>
    <r>
      <rPr>
        <vertAlign val="subscript"/>
        <sz val="11"/>
        <color rgb="FF000000"/>
        <rFont val="Calibri"/>
      </rPr>
      <t>C2</t>
    </r>
    <r>
      <rPr>
        <sz val="11"/>
        <color rgb="FF000000"/>
        <rFont val="Calibri"/>
      </rPr>
      <t>) / N</t>
    </r>
    <r>
      <rPr>
        <vertAlign val="subscript"/>
        <sz val="11"/>
        <color rgb="FF000000"/>
        <rFont val="Calibri"/>
      </rPr>
      <t>DTPS</t>
    </r>
  </si>
  <si>
    <r>
      <t>R</t>
    </r>
    <r>
      <rPr>
        <vertAlign val="subscript"/>
        <sz val="11"/>
        <color rgb="FF000000"/>
        <rFont val="Calibri"/>
      </rPr>
      <t>W</t>
    </r>
    <r>
      <rPr>
        <sz val="11"/>
        <color rgb="FF000000"/>
        <rFont val="Calibri"/>
      </rPr>
      <t xml:space="preserve"> = (N</t>
    </r>
    <r>
      <rPr>
        <vertAlign val="subscript"/>
        <sz val="11"/>
        <color rgb="FF000000"/>
        <rFont val="Calibri"/>
      </rPr>
      <t>A1</t>
    </r>
    <r>
      <rPr>
        <sz val="11"/>
        <color rgb="FF000000"/>
        <rFont val="Calibri"/>
      </rPr>
      <t xml:space="preserve"> + N</t>
    </r>
    <r>
      <rPr>
        <vertAlign val="subscript"/>
        <sz val="11"/>
        <color rgb="FF000000"/>
        <rFont val="Calibri"/>
      </rPr>
      <t>B1</t>
    </r>
    <r>
      <rPr>
        <sz val="11"/>
        <color rgb="FF000000"/>
        <rFont val="Calibri"/>
      </rPr>
      <t xml:space="preserve"> + N</t>
    </r>
    <r>
      <rPr>
        <vertAlign val="subscript"/>
        <sz val="11"/>
        <color rgb="FF000000"/>
        <rFont val="Calibri"/>
      </rPr>
      <t>C1</t>
    </r>
    <r>
      <rPr>
        <sz val="11"/>
        <color rgb="FF000000"/>
        <rFont val="Calibri"/>
      </rPr>
      <t>) / N</t>
    </r>
    <r>
      <rPr>
        <vertAlign val="subscript"/>
        <sz val="11"/>
        <color rgb="FF000000"/>
        <rFont val="Calibri"/>
      </rPr>
      <t>DTPS</t>
    </r>
  </si>
  <si>
    <t>Artikel karya ilmiah DTPS yang disitasi dalam 3 tahun terakhir.
Tabel 3.b.5) LKPS</t>
  </si>
  <si>
    <r>
      <t>N</t>
    </r>
    <r>
      <rPr>
        <vertAlign val="subscript"/>
        <sz val="11"/>
        <color rgb="FF000000"/>
        <rFont val="Calibri"/>
      </rPr>
      <t>AS</t>
    </r>
    <r>
      <rPr>
        <sz val="11"/>
        <color rgb="FF000000"/>
        <rFont val="Calibri"/>
      </rPr>
      <t xml:space="preserve"> = Jumlah judul artikel yang disitasi.</t>
    </r>
  </si>
  <si>
    <r>
      <t>R</t>
    </r>
    <r>
      <rPr>
        <vertAlign val="subscript"/>
        <sz val="11"/>
        <color rgb="FF000000"/>
        <rFont val="Calibri"/>
      </rPr>
      <t>S</t>
    </r>
    <r>
      <rPr>
        <sz val="11"/>
        <color rgb="FF000000"/>
        <rFont val="Calibri"/>
      </rPr>
      <t xml:space="preserve"> = N</t>
    </r>
    <r>
      <rPr>
        <vertAlign val="subscript"/>
        <sz val="11"/>
        <color rgb="FF000000"/>
        <rFont val="Calibri"/>
      </rPr>
      <t>AS</t>
    </r>
    <r>
      <rPr>
        <sz val="11"/>
        <color rgb="FF000000"/>
        <rFont val="Calibri"/>
      </rPr>
      <t xml:space="preserve"> / N</t>
    </r>
    <r>
      <rPr>
        <vertAlign val="subscript"/>
        <sz val="11"/>
        <color rgb="FF000000"/>
        <rFont val="Calibri"/>
      </rPr>
      <t>DTPS</t>
    </r>
  </si>
  <si>
    <t>Luaran penelitian dan PkM yang dihasilkan DTPS dalam 3 tahun terakhir.
Tabel 3.b.7) LKPS</t>
  </si>
  <si>
    <r>
      <t>N</t>
    </r>
    <r>
      <rPr>
        <vertAlign val="subscript"/>
        <sz val="11"/>
        <color rgb="FF000000"/>
        <rFont val="Calibri"/>
      </rPr>
      <t>A</t>
    </r>
    <r>
      <rPr>
        <sz val="11"/>
        <color rgb="FF000000"/>
        <rFont val="Calibri"/>
      </rPr>
      <t xml:space="preserve"> = Jumlah luaran penelitian/PkM yang mendapat pengakuan HKI (Paten, Paten Sederhana)</t>
    </r>
  </si>
  <si>
    <r>
      <t>N</t>
    </r>
    <r>
      <rPr>
        <vertAlign val="subscript"/>
        <sz val="11"/>
        <color rgb="FF000000"/>
        <rFont val="Calibri"/>
      </rPr>
      <t>B</t>
    </r>
    <r>
      <rPr>
        <sz val="11"/>
        <color rgb="FF000000"/>
        <rFont val="Calibri"/>
      </rPr>
      <t xml:space="preserve"> = Jumlah luaran penelitian/PkM yang mendapat pengakuan HKI (Hak Cipta, Desain Produk Industri, Perlindungan Varietas Tanaman, Desain Tata Letak Sirkuit Terpadu, dll.)</t>
    </r>
  </si>
  <si>
    <r>
      <t>N</t>
    </r>
    <r>
      <rPr>
        <vertAlign val="subscript"/>
        <sz val="11"/>
        <color rgb="FF000000"/>
        <rFont val="Calibri"/>
      </rPr>
      <t>C</t>
    </r>
    <r>
      <rPr>
        <sz val="11"/>
        <color rgb="FF000000"/>
        <rFont val="Calibri"/>
      </rPr>
      <t xml:space="preserve"> = Jumlah luaran penelitian/PkM dalam bentuk Teknologi Tepat Guna, Produk (Produk Terstandarisasi, Produk Tersertifikasi), Karya Seni, Rekayasa Sosial.</t>
    </r>
  </si>
  <si>
    <r>
      <t>N</t>
    </r>
    <r>
      <rPr>
        <vertAlign val="subscript"/>
        <sz val="11"/>
        <color rgb="FF000000"/>
        <rFont val="Calibri"/>
      </rPr>
      <t>D</t>
    </r>
    <r>
      <rPr>
        <sz val="11"/>
        <color rgb="FF000000"/>
        <rFont val="Calibri"/>
      </rPr>
      <t xml:space="preserve"> = Jumlah luaran penelitian/PkM yang diterbitkan dalam bentuk Buku ber-ISBN, </t>
    </r>
    <r>
      <rPr>
        <i/>
        <sz val="11"/>
        <color rgb="FF000000"/>
        <rFont val="Calibri"/>
      </rPr>
      <t>Book Chapter</t>
    </r>
    <r>
      <rPr>
        <sz val="11"/>
        <color rgb="FF000000"/>
        <rFont val="Calibri"/>
      </rPr>
      <t>.</t>
    </r>
  </si>
  <si>
    <r>
      <t>R</t>
    </r>
    <r>
      <rPr>
        <vertAlign val="subscript"/>
        <sz val="11"/>
        <color rgb="FF000000"/>
        <rFont val="Calibri"/>
      </rPr>
      <t>LP</t>
    </r>
    <r>
      <rPr>
        <sz val="11"/>
        <color rgb="FF000000"/>
        <rFont val="Calibri"/>
      </rPr>
      <t xml:space="preserve"> = (2 x (N</t>
    </r>
    <r>
      <rPr>
        <vertAlign val="subscript"/>
        <sz val="11"/>
        <color rgb="FF000000"/>
        <rFont val="Calibri"/>
      </rPr>
      <t>A</t>
    </r>
    <r>
      <rPr>
        <sz val="11"/>
        <color rgb="FF000000"/>
        <rFont val="Calibri"/>
      </rPr>
      <t xml:space="preserve"> + N</t>
    </r>
    <r>
      <rPr>
        <vertAlign val="subscript"/>
        <sz val="11"/>
        <color rgb="FF000000"/>
        <rFont val="Calibri"/>
      </rPr>
      <t>B</t>
    </r>
    <r>
      <rPr>
        <sz val="11"/>
        <color rgb="FF000000"/>
        <rFont val="Calibri"/>
      </rPr>
      <t xml:space="preserve"> + N</t>
    </r>
    <r>
      <rPr>
        <vertAlign val="subscript"/>
        <sz val="11"/>
        <color rgb="FF000000"/>
        <rFont val="Calibri"/>
      </rPr>
      <t>C</t>
    </r>
    <r>
      <rPr>
        <sz val="11"/>
        <color rgb="FF000000"/>
        <rFont val="Calibri"/>
      </rPr>
      <t>) + N</t>
    </r>
    <r>
      <rPr>
        <vertAlign val="subscript"/>
        <sz val="11"/>
        <color rgb="FF000000"/>
        <rFont val="Calibri"/>
      </rPr>
      <t>D</t>
    </r>
    <r>
      <rPr>
        <sz val="11"/>
        <color rgb="FF000000"/>
        <rFont val="Calibri"/>
      </rPr>
      <t>) / N</t>
    </r>
    <r>
      <rPr>
        <vertAlign val="subscript"/>
        <sz val="11"/>
        <color rgb="FF000000"/>
        <rFont val="Calibri"/>
      </rPr>
      <t>DTPS</t>
    </r>
  </si>
  <si>
    <t>C.4.4.c) Pengembangan Dosen</t>
  </si>
  <si>
    <r>
      <t xml:space="preserve">Upaya pengembangan dosen.
Catatan: Jika Skor rata-rata butir Profil Dosen </t>
    </r>
    <r>
      <rPr>
        <sz val="11"/>
        <color rgb="FF000000"/>
        <rFont val="Calibri"/>
      </rPr>
      <t>≥</t>
    </r>
    <r>
      <rPr>
        <sz val="11"/>
        <color rgb="FF000000"/>
        <rFont val="Calibri"/>
      </rPr>
      <t xml:space="preserve"> 3,5 , maka Skor = 4.</t>
    </r>
  </si>
  <si>
    <t>Skor rata-rata butir Profil Dosen</t>
  </si>
  <si>
    <t>UPPS merencanakan dan mengembangkan DTPS mengikuti rencana pengembangan SDM di perguruan tinggi (Renstra PT) secara konsisten.</t>
  </si>
  <si>
    <t>UPPS merencanakan dan mengembangkan DTPS mengikuti rencana pengembangan SDM di perguruan tinggi (Renstra PT).</t>
  </si>
  <si>
    <t>UPPS mengembangkan DTPS mengikuti rencana pengembangan SDM di perguruan tinggi (Renstra PT).</t>
  </si>
  <si>
    <t>UPPS mengembangkan DTPS tidak mengikuti atau tidak sesuai dengan rencana pengembangan SDM di perguruan tinggi (Renstra PT).</t>
  </si>
  <si>
    <t>Perguruan tinggi dan/atau UPPS tidak memiliki rencana pengembangan SDM.</t>
  </si>
  <si>
    <t>C.4.4.d) Tenaga Kependidikan</t>
  </si>
  <si>
    <t>A. Kualifikasi dan kecukupan tenaga kependidikan berdasarkan jenis pekerjaannya (administrasi, pustakawan, teknisi, dll.)
Catatan: Penilaian kecukupan tidak hanya ditentukan oleh jumlah tenaga kependidikan, namun keberadaan dan pemanfaatan teknologi informasi dan komputer dalam proses administrasi dapat dijadikan pertimbangan untuk menilai efektifitas pekerjaan dan kebutuhan akan tenaga kependidikan.</t>
  </si>
  <si>
    <t>UPPS memiliki tenaga kependidikan yang memenuhi tingkat kecukupan dan kualifikasi berdasarkan kebutuhan layanan program studi dan mendukung pelaksanaan akademik, fungsi unit pengelola, serta pengembangan program studi.</t>
  </si>
  <si>
    <t>UPPS memiliki tenaga kependidikan yang memenuhi tingkat kecukupan dan kualifikasi berdasarkan kebutuhan layanan program studi dan mendukung pelaksanaan akademik dan fungsi unit pengelola.</t>
  </si>
  <si>
    <t>UPPS memiliki tenaga kependidikan yang memenuhi tingkat kecukupan dan kualifikasi berdasarkan kebutuhan layanan program studi dan mendukung pelaksanaan akademik.</t>
  </si>
  <si>
    <t>UPPS memiliki tenaga kependidikan yang memenuhi tingkat kecukupan dan/atau kualifikasi berdasarkan kebutuhan layanan program studi dan mendukung pelaksanaan akademik.</t>
  </si>
  <si>
    <t>UPPS memiliki tenaga kependidikan yang tidak memenuhi tingkat kecukupan dan kualifikasi berdasarkan kebutuhan layanan program studi.</t>
  </si>
  <si>
    <t>B. Kualifikasi dan kecukupan laboran untuk mendukung proses pembelajaran sesuai dengan kebutuhan program studi.</t>
  </si>
  <si>
    <t>UPPS memiliki jumlah laboran yang cukup terhadap jumlah laboratorium yang digunakan program studi, kualifikasinya sesuai
dengan laboratorium yang menjadi tanggungjawabnya, serta bersertifikat laboran dan bersertifikat kompetensi tertentu sesuai bidang tugasnya.</t>
  </si>
  <si>
    <t>UPPS memiliki jumlah laboran yang cukup terhadap jumlah laboratorium yang digunakan program studi, kualifikasinya sesuai
dengan laboratorium yang menjadi tanggungjawabnya, dan bersertifikat laboran atau bersertifikat kompetensi tertentu sesuai bidang tugasnya.</t>
  </si>
  <si>
    <t>UPPS memiliki jumlah laboran yang cukup terhadap jumlah laboratorium yang digunakan program studi dan kualifikasinya sesuai dengan laboratorium yang menjadi tanggungjawabnya.</t>
  </si>
  <si>
    <t>UPPS memiliki jumlah laboran yang cukup terhadap jumlah
laboratorium yang digunakan program studi.</t>
  </si>
  <si>
    <t>UPPS tidak memiliki laboran.</t>
  </si>
  <si>
    <t>Skor = (A + B) / 2</t>
  </si>
  <si>
    <r>
      <rPr>
        <b/>
        <sz val="11"/>
        <color rgb="FF000000"/>
        <rFont val="Calibri"/>
      </rPr>
      <t>C.5. Keuangan, Sarana dan Prasarana</t>
    </r>
    <r>
      <rPr>
        <sz val="11"/>
        <color rgb="FF000000"/>
        <rFont val="Calibri"/>
      </rPr>
      <t xml:space="preserve">
C.5.4. Indikator Kinerja Utama
C.5.4.a) Keuangan</t>
    </r>
  </si>
  <si>
    <t>Biaya operasional pendidikan.
Tabel 4 LKPS</t>
  </si>
  <si>
    <r>
      <t>B</t>
    </r>
    <r>
      <rPr>
        <vertAlign val="subscript"/>
        <sz val="11"/>
        <color rgb="FF000000"/>
        <rFont val="Calibri"/>
      </rPr>
      <t>OP</t>
    </r>
    <r>
      <rPr>
        <sz val="11"/>
        <color rgb="FF000000"/>
        <rFont val="Calibri"/>
      </rPr>
      <t xml:space="preserve"> = Biaya operasional pendidikan dalam 3 tahun terakhir.</t>
    </r>
  </si>
  <si>
    <r>
      <t>N</t>
    </r>
    <r>
      <rPr>
        <vertAlign val="subscript"/>
        <sz val="11"/>
        <color rgb="FF000000"/>
        <rFont val="Calibri"/>
      </rPr>
      <t>M</t>
    </r>
    <r>
      <rPr>
        <sz val="11"/>
        <color rgb="FF000000"/>
        <rFont val="Calibri"/>
      </rPr>
      <t xml:space="preserve"> = Jumlah mahasiswa aktif pada saat TS.</t>
    </r>
  </si>
  <si>
    <r>
      <t>D</t>
    </r>
    <r>
      <rPr>
        <vertAlign val="subscript"/>
        <sz val="11"/>
        <color rgb="FF000000"/>
        <rFont val="Calibri"/>
      </rPr>
      <t>OP</t>
    </r>
    <r>
      <rPr>
        <sz val="11"/>
        <color rgb="FF000000"/>
        <rFont val="Calibri"/>
      </rPr>
      <t xml:space="preserve"> = Rata-rata dana operasional pendidikan/mahasiswa/ tahun dalam 3 tahun terakhir = B</t>
    </r>
    <r>
      <rPr>
        <vertAlign val="subscript"/>
        <sz val="11"/>
        <color rgb="FF000000"/>
        <rFont val="Calibri"/>
      </rPr>
      <t>OP</t>
    </r>
    <r>
      <rPr>
        <sz val="11"/>
        <color rgb="FF000000"/>
        <rFont val="Calibri"/>
      </rPr>
      <t xml:space="preserve"> / 3 / N</t>
    </r>
    <r>
      <rPr>
        <vertAlign val="subscript"/>
        <sz val="11"/>
        <color rgb="FF000000"/>
        <rFont val="Calibri"/>
      </rPr>
      <t>M</t>
    </r>
  </si>
  <si>
    <t>Dana penelitian DTPS.
Tabel 4 LKPS</t>
  </si>
  <si>
    <r>
      <t>D</t>
    </r>
    <r>
      <rPr>
        <vertAlign val="subscript"/>
        <sz val="11"/>
        <color rgb="FF000000"/>
        <rFont val="Calibri"/>
      </rPr>
      <t>P</t>
    </r>
    <r>
      <rPr>
        <sz val="11"/>
        <color rgb="FF000000"/>
        <rFont val="Calibri"/>
      </rPr>
      <t xml:space="preserve"> = Jumlah dana penelitian yang diperoleh dosen tetap dalam 3 tahun terakhir.</t>
    </r>
  </si>
  <si>
    <r>
      <t>D</t>
    </r>
    <r>
      <rPr>
        <vertAlign val="subscript"/>
        <sz val="11"/>
        <color rgb="FF000000"/>
        <rFont val="Calibri"/>
      </rPr>
      <t>PD</t>
    </r>
    <r>
      <rPr>
        <sz val="11"/>
        <color rgb="FF000000"/>
        <rFont val="Calibri"/>
      </rPr>
      <t xml:space="preserve"> = Rata-rata dana penelitian DTPS/ tahun dalam 3 tahun terakhir = D</t>
    </r>
    <r>
      <rPr>
        <vertAlign val="subscript"/>
        <sz val="11"/>
        <color rgb="FF000000"/>
        <rFont val="Calibri"/>
      </rPr>
      <t>P</t>
    </r>
    <r>
      <rPr>
        <sz val="11"/>
        <color rgb="FF000000"/>
        <rFont val="Calibri"/>
      </rPr>
      <t xml:space="preserve"> / 3 / N</t>
    </r>
    <r>
      <rPr>
        <vertAlign val="subscript"/>
        <sz val="11"/>
        <color rgb="FF000000"/>
        <rFont val="Calibri"/>
      </rPr>
      <t>DTPS</t>
    </r>
  </si>
  <si>
    <t>Dana pengabdian kepada masyarakat DTPS.
Tabel 4 LKPS</t>
  </si>
  <si>
    <r>
      <t>D</t>
    </r>
    <r>
      <rPr>
        <vertAlign val="subscript"/>
        <sz val="11"/>
        <color rgb="FF000000"/>
        <rFont val="Calibri"/>
      </rPr>
      <t>PkM</t>
    </r>
    <r>
      <rPr>
        <sz val="11"/>
        <color rgb="FF000000"/>
        <rFont val="Calibri"/>
      </rPr>
      <t xml:space="preserve"> = Jumlah dana PkM yang diperoleh dosen tetap dalam 3 tahun terakhir.</t>
    </r>
  </si>
  <si>
    <r>
      <t>D</t>
    </r>
    <r>
      <rPr>
        <vertAlign val="subscript"/>
        <sz val="11"/>
        <color rgb="FF000000"/>
        <rFont val="Calibri"/>
      </rPr>
      <t>PkMD</t>
    </r>
    <r>
      <rPr>
        <sz val="11"/>
        <color rgb="FF000000"/>
        <rFont val="Calibri"/>
      </rPr>
      <t xml:space="preserve"> = Rata-rata dana PkM DTPS/ tahun dalam 3 tahun terakhir = D</t>
    </r>
    <r>
      <rPr>
        <vertAlign val="subscript"/>
        <sz val="11"/>
        <color rgb="FF000000"/>
        <rFont val="Calibri"/>
      </rPr>
      <t>PkM</t>
    </r>
    <r>
      <rPr>
        <sz val="11"/>
        <color rgb="FF000000"/>
        <rFont val="Calibri"/>
      </rPr>
      <t xml:space="preserve"> / 3 / N</t>
    </r>
    <r>
      <rPr>
        <vertAlign val="subscript"/>
        <sz val="11"/>
        <color rgb="FF000000"/>
        <rFont val="Calibri"/>
      </rPr>
      <t>DTPS</t>
    </r>
  </si>
  <si>
    <t>Realisasi investasi (SDM, sarana dan prasarana) yang mendukung penyelenggaraan tridharma.
Catatan: Jika Skor rata-rata butir tentang Profil Dosen, Sarana, dan Prasarana ≥ 3,5 , maka Skor butir ini = 4.</t>
  </si>
  <si>
    <t>Skor rata-rata butir Profil Dosen, Sarana dan Prasarana</t>
  </si>
  <si>
    <t>Persentase realisasi dana untuk investasi SDM serta Sarana dan Prasarana telah sesuai dengan perencanaan investasi serta melebihi standar pembelajaran, penelitian dan PkM untuk mendukung terciptanya suasana akademik yang sehat dan kondusif.</t>
  </si>
  <si>
    <t>Persentase realisasi dana untuk investasi SDM serta Sarana dan Prasarana telah sesuai dengan perencanaan investasi serta melebihi standar pembelajaran, penelitian dan PkM.</t>
  </si>
  <si>
    <t xml:space="preserve">Persentase realisasi dana untuk investasi SDM serta Sarana dan Prasarana telah sesuai dengan perencanaan investasi serta memenuhi standar pembelajaran, penelitian dan PkM.
</t>
  </si>
  <si>
    <t>Persentase realisasi dana untuk investasi SDM serta Sarana dan Prasarana kurang sesuai dengan perencanaan investasi.</t>
  </si>
  <si>
    <t>Tidak ada realisasi dana untuk investasi SDM serta Sarana dan Prasarana.</t>
  </si>
  <si>
    <t>Kecukupan dana untuk menjamin pencapaian capaian pembelajaran.</t>
  </si>
  <si>
    <t>Dana dapat menjamin keberlangsungan operasional tridharma, pengembangan 3 tahun terakhir serta memiliki kecukupan dana untuk rencana pengembangan 3 tahun ke depan yang didukung oleh sumber pendanaan yang realistis.</t>
  </si>
  <si>
    <t>Dana dapat menjamin keberlangsungan operasional tridharma serta pengembangan 3 tahun terakhir.</t>
  </si>
  <si>
    <t>Dana dapat menjamin keberlangsungan operasional tridharma dan sebagian kecil pengembangan.</t>
  </si>
  <si>
    <t>Dana  dapat menjamin keberlangsungan operasional dan tidak ada untuk pengembangan.</t>
  </si>
  <si>
    <t>Dana tidak mencukupi untuk keperluan operasional.</t>
  </si>
  <si>
    <t>C.5.4.b) Sarana dan Prasarana</t>
  </si>
  <si>
    <t>Kecukupan, aksesibilitas dan mutu sarana dan prasarana untuk menjamin pencapaian capaian pembelajaran dan meningkatkan suasana akademik.</t>
  </si>
  <si>
    <t>UPPS menyediakan sarana dan prasarana yang mutakhir serta aksesibiltas yang cukup untuk menjamin pencapaian capaian pembelajaran dan meningkatkan suasana akademik.</t>
  </si>
  <si>
    <t>UPPS menyediakan sarana dan prasarana serta aksesibiltas yang cukup untuk menjamin pencapaian capaian pembelajaran dan meningkatkan suasana akademik.</t>
  </si>
  <si>
    <t xml:space="preserve">UPPS menyediakan sarana dan prasarana serta aksesibiltas yang cukup untuk menjamin pencapaian capaian pembelajaran.
</t>
  </si>
  <si>
    <t>UPPS menyediakan sarana dan prasarana serta aksesibiltas yang tidak cukup untuk menjamin pencapaian capaian pembelajaran.</t>
  </si>
  <si>
    <t>UPPS tidak memiliki sarana dan prasarana.</t>
  </si>
  <si>
    <r>
      <rPr>
        <b/>
        <sz val="11"/>
        <color rgb="FF000000"/>
        <rFont val="Calibri"/>
      </rPr>
      <t>C.6. Pendidikan</t>
    </r>
    <r>
      <rPr>
        <sz val="11"/>
        <color rgb="FF000000"/>
        <rFont val="Calibri"/>
      </rPr>
      <t xml:space="preserve">
C.6.4. Indikator Kinerja Utama
C.6.4.a) Kurikulum</t>
    </r>
  </si>
  <si>
    <t>A. Keterlibatan pemangku kepentingan dalam proses evaluasi dan pemutakhiran kurikulum.</t>
  </si>
  <si>
    <t xml:space="preserve">Evaluasi dan pemutakhiran kurikulum secara berkala tiap 4 s.d. 5 tahun yang melibatkan pemangku kepentingan internal dan eksternal, serta direview oleh pakar bidang ilmu program studi, industri, asosiasi, serta sesuai perkembangan ipteks dan kebutuhan pengguna. </t>
  </si>
  <si>
    <t>Evaluasi dan pemutakhiran kurikulum secara berkala tiap 4 s.d. 5 tahun yang melibatkan pemangku kepentingan internal dan eksternal.</t>
  </si>
  <si>
    <t>Evaluasi dan pemutakhiran kurikulum melibatkan pemangku kepentingan internal.</t>
  </si>
  <si>
    <t>Evaluasi dan pemutakhiran kurikulum tidak melibatkan seluruh pemangku  kepentingan internal.</t>
  </si>
  <si>
    <t>Evaluasi dan pemutakhiran kurikulum dilakukan oleh dosen program studi.</t>
  </si>
  <si>
    <t>B. Kesesuaian capaian pembelajaran dengan profil lulusan dan jenjang KKNI/SKKNI.</t>
  </si>
  <si>
    <t>Capaian pembelajaran diturunkan dari profil lulusan, mengacu pada hasil kesepakatan dengan asosiasi penyelenggara program studi sejenis dan organisasi profesi, dan memenuhi level KKNI, serta dimutakhirkan secara berkala tiap 4 s.d. 5 tahun sesuai perkembangan ipteks dan kebutuhan pengguna.</t>
  </si>
  <si>
    <t>Capaian pembelajaran diturunkan dari profil lulusan, memenuhi level KKNI, dan dimutakhirkan secara berkala tiap 4 s.d. 5 tahun sesuai perkembangan ipteks atau kebutuhan pengguna.</t>
  </si>
  <si>
    <t>Capaian pembelajaran diturunkan dari profil lulusan dan memenuhi level KKNI.</t>
  </si>
  <si>
    <t>Capaian pembelajaran diturunkan dari profil lulusan dan tidak memenuhi level KKNI.</t>
  </si>
  <si>
    <t>Capaian pembelajaran tidak diturunkan dari profil lulusan dan tidak memenuhi level KKNI.</t>
  </si>
  <si>
    <t>C. Ketepatan struktur kurikulum dalam pembentukan capaian pembelajaran.</t>
  </si>
  <si>
    <t>Struktur kurikulum memuat keterkaitan antara matakuliah dengan capaian pembelajaran lulusan yang digambarkan dalam peta kurikulum yang jelas, capaian pembelajaran lulusan dipenuhi oleh seluruh capaian pembelajaran matakuliah, serta tidak ada capaian pembelajaran matakuliah yang tidak mendukung capaian pembelajaran lulusan.</t>
  </si>
  <si>
    <t>Struktur kurikulum memuat keterkaitan antara matakuliah dengan capaian pembelajaran lulusan yang digambarkan dalam peta kurikulum yang jelas, capaian pembelajaran lulusan dipenuhi oleh seluruh capaian pembelajaran matakuliah.</t>
  </si>
  <si>
    <t>Struktur kurikulum memuat keterkaitan antara matakuliah dengan capaian pembelajaran lulusan yang digambarkan dalam peta kurikulum yang jelas.</t>
  </si>
  <si>
    <t>Struktur kurikulum tidak sesuai dengan capaian pembelajaran lulusan.</t>
  </si>
  <si>
    <t>Skor = (A + (2 x B) + (2 x C)) / 5</t>
  </si>
  <si>
    <t>C.6.4.b) Karakteristik Proses Pembelajaran</t>
  </si>
  <si>
    <t>Pemenuhan karakteristik proses pembelajaran, yang terdiri atas sifat: 1) interaktif, 2) holistik, 3) integratif, 4) saintifik, 5) kontekstual, 6) tematik, 7) efektif, 8) kolaboratif, dan 9) berpusat pada mahasiswa.</t>
  </si>
  <si>
    <t xml:space="preserve">Terpenuhinya karakteristik proses pembelajaran program studi yang mencakup seluruh sifat, dan telah menghasilkan profil lulusan yang sesuai dengan capaian pembelajaran. </t>
  </si>
  <si>
    <t xml:space="preserve">Terpenuhinya karakteristik proses pembelajaran program studi yang berpusat pada mahasiswa, dan telah menghasilkan profil lulusan yang sesuai dengan capaian pembelajaran. </t>
  </si>
  <si>
    <t>Karakteristik proses pembelajaran program studi berpusat pada mahasiswa yang diterapkan pada minimal 50% matakuliah.</t>
  </si>
  <si>
    <t>Karakteristik proses pembelajaran program studi belum berpusat pada mahasiswa.</t>
  </si>
  <si>
    <t>C.6.4.c) Rencana Proses Pembelajaran</t>
  </si>
  <si>
    <t xml:space="preserve">A. Ketersediaan dan kelengkapan dokumen rencana pembelajaran semester (RPS) </t>
  </si>
  <si>
    <t>Dokumen RPS mencakup target capaian pembelajaran, bahan kajian, metode pembelajaran, waktu dan tahapan, asesmen hasil capaian pembelajaran. RPS ditinjau dan disesuaikan secara berkala serta dapat diakses oleh mahasiswa, dilaksanakan secara konsisten.</t>
  </si>
  <si>
    <t>Dokumen RPS mencakup target capaian pembelajaran, bahan kajian, metode pembelajaran, waktu dan tahapan, asesmen hasil capaian pembelajaran. RPS ditinjau dan disesuaikan secara berkala serta dapat diakses oleh mahasiswa.</t>
  </si>
  <si>
    <t xml:space="preserve">Dokumen RPS mencakup target capaian pembelajaran, bahan kajian, metode pembelajaran, waktu dan tahapan, asesmen hasil capaian pembelajaran. RPS ditinjau dan disesuaikan secara berkala.  </t>
  </si>
  <si>
    <t>Dokumen RPS mencakup target capaian pembelajaran, bahan kajian, metode pembelajaran, waktu dan tahapan, asesmen hasil capaian pembelajaran atau tidak semua matakuliah memiliki RPS.</t>
  </si>
  <si>
    <t>Tidak memiliki dokumen RPS.</t>
  </si>
  <si>
    <t>B. Kedalaman dan keluasan RPS sesuai dengan capaian pembelajaran lulusan.</t>
  </si>
  <si>
    <t xml:space="preserve">Isi materi pembelajaran sesuai dengan RPS, memiliki kedalaman dan keluasan yang relevan untuk mencapai capaian pembelajaran lulusan, serta ditinjau ulang secara berkala. </t>
  </si>
  <si>
    <t xml:space="preserve">Isi materi pembelajaran sesuai dengan RPS, memiliki kedalaman dan keluasan yang relevan untuk mencapai capaian pembelajaran lulusan. </t>
  </si>
  <si>
    <t xml:space="preserve">Isi materi pembelajaran memiliki kedalaman dan keluasan sesuai dengan capaian pembelajaran lulusan. </t>
  </si>
  <si>
    <t xml:space="preserve">Isi materi pembelajaran memiliki kedalaman dan keluasan namun sebagian tidak sesuai dengan capaian pembelajaran lulusan. </t>
  </si>
  <si>
    <t xml:space="preserve">Isi materi pembelajaran tidak sesuai dengan capaian pembelajaran lulusan. </t>
  </si>
  <si>
    <t>C.6.4.d) Pelaksanaan Proses Pembelajaran</t>
  </si>
  <si>
    <t>A. Bentuk interaksi antara dosen, mahasiswa dan sumber belajar</t>
  </si>
  <si>
    <t>Pelaksanaan pembelajaran berlangsung dalam bentuk interaksi antara dosen, mahasiswa, dan sumber belajar dalam lingkungan belajar tertentu secara on-line dan off-line dalam bentuk audio-visual terdokumentasi.</t>
  </si>
  <si>
    <t>Pelaksanaan pembelajaran berlangsung dalam bentuk interaksi antara dosen, mahasiswa, dan sumber belajar dalam lingkungan belajar tertentu secara on-line dan off-line.</t>
  </si>
  <si>
    <t>Pelaksanaan pembelajaran berlangsung dalam bentuk interaksi antara dosen, mahasiswa, dan sumber belajar dalam lingkungan belajar tertentu.</t>
  </si>
  <si>
    <t>Pelaksanaan pembelajaran berlangsung hanya sebagian dalam bentuk interaksi antara dosen, mahasiswa, dan sumber belajar dalam lingkungan belajar tertentu.</t>
  </si>
  <si>
    <t>Pelaksanaan pembelajaran tidak berlangsung dalam bentuk interaksi antara dosen dan mahasiswa</t>
  </si>
  <si>
    <t>B. Pemantauan kesesuaian proses terhadap rencana pembelajaran</t>
  </si>
  <si>
    <t>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t>
  </si>
  <si>
    <t>Memiliki bukti sahih adanya sistem dan  pelaksanaan pemantauan proses pembelajaran yang dilaksanakan secara periodik untuk menjamin kesesuaian dengan RPS dalam rangka menjaga mutu proses pembelajaran. Hasil monev  terdokumentasi dengan baik.</t>
  </si>
  <si>
    <t xml:space="preserve">Memiliki bukti sahih adanya sistem dan pelaksanaan pemantauan proses pembelajaran yang dilaksanakan secara periodik untuk mengukur kesesuaian terhadap RPS. </t>
  </si>
  <si>
    <t>Memiliki bukti sahih adanya sistem pemantauan proses pembelajaran namun tidak dilaksanakan secara konsisten.</t>
  </si>
  <si>
    <t>Tidak memiliki bukti sahih adanya sistem dan pelaksanaan pemantauan proses pembelajaran.</t>
  </si>
  <si>
    <t>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t>
  </si>
  <si>
    <t>Terdapat bukti sahih tentang pemenuhan SN Dikti Penelitian pada proses pembelajaran terkait penelitian serta pemenuhan SN Dikti Penelitian pada proses pembelajaran terkait penelitian.</t>
  </si>
  <si>
    <t>Tidak ada Skor antara 2 dan 4.</t>
  </si>
  <si>
    <t>Terdapat bukti sahih tentang pemenuhan SN Dikti Penelitian pada proses pembelajaran terkait penelitian namun tidak memenuhi SN Dikti Penelitian pada proses pembelajaran terkait penelitian.</t>
  </si>
  <si>
    <t>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t>
  </si>
  <si>
    <t>Terdapat bukti sahih tentang pemenuhan SN Dikti PkM pada proses pembelajaran terkait PkM serta pemenuhan SN Dikti PkM pada proses pembelajaran terkait PkM.</t>
  </si>
  <si>
    <t>Terdapat bukti sahih tentang pemenuhan SN Dikti PkM pada proses pembelajaran terkait PkM namun tidak memenuhi SN Dikti PkM pada proses pembelajaran terkait PkM.</t>
  </si>
  <si>
    <t>E. Kesesuaian metode pembelajaran dengan capaian pembelajaran. Contoh: RBE (research based education), IBE (industry based education), teaching factory/teaching industry, dll.</t>
  </si>
  <si>
    <t>Terdapat bukti sahih yang menunjukkan metode pembelajaran yang dilaksanakan sesuai dengan capaian pembelajaran yang direncanakan pada 75% s.d. 100% mata kuliah.</t>
  </si>
  <si>
    <t>Terdapat bukti sahih yang menunjukkan metode pembelajaran yang dilaksanakan sesuai dengan capaian pembelajaran yang direncanakan pada 50 s.d. &lt; 75% mata kuliah.</t>
  </si>
  <si>
    <t>Terdapat bukti sahih yang menunjukkan metode pembelajaran yang dilaksanakan sesuai dengan capaian pembelajaran yang direncanakan pada 25 s.d. &lt; 50% mata kuliah.</t>
  </si>
  <si>
    <t>Terdapat bukti sahih yang menunjukkan metode pembelajaran yang dilaksanakan sesuai dengan capaian pembelajaran yang direncanakan pada &lt; 25% mata kuliah.</t>
  </si>
  <si>
    <t>Tidak terdapat bukti sahih yang menunjukkan metode pembelajaran yang dilaksanakan sesuai dengan capaian pembelajaran yang direncanakan.</t>
  </si>
  <si>
    <t>Skor = (A + (2 x B) + (2 x C) + (2 x D) + (2 x E)) / 9</t>
  </si>
  <si>
    <t>Pembelajaran yang dilaksanakan dalam bentuk praktikum, praktik studio, praktik bengkel, atau praktik lapangan.
Tabel 5.a LKPS</t>
  </si>
  <si>
    <r>
      <t>J</t>
    </r>
    <r>
      <rPr>
        <vertAlign val="subscript"/>
        <sz val="11"/>
        <color rgb="FF000000"/>
        <rFont val="Calibri"/>
      </rPr>
      <t>P</t>
    </r>
    <r>
      <rPr>
        <sz val="11"/>
        <color rgb="FF000000"/>
        <rFont val="Calibri"/>
      </rPr>
      <t xml:space="preserve"> = Jam pembelajaran praktikum, praktik studio, praktik bengkel, atau praktik lapangan (termasuk KKN)</t>
    </r>
  </si>
  <si>
    <r>
      <t>J</t>
    </r>
    <r>
      <rPr>
        <vertAlign val="subscript"/>
        <sz val="11"/>
        <color rgb="FF000000"/>
        <rFont val="Calibri"/>
      </rPr>
      <t>B</t>
    </r>
    <r>
      <rPr>
        <sz val="11"/>
        <color rgb="FF000000"/>
        <rFont val="Calibri"/>
      </rPr>
      <t xml:space="preserve"> = Jam pembelajaran total selama masa pendidikan.</t>
    </r>
  </si>
  <si>
    <r>
      <t>P</t>
    </r>
    <r>
      <rPr>
        <vertAlign val="subscript"/>
        <sz val="11"/>
        <color rgb="FF000000"/>
        <rFont val="Calibri"/>
      </rPr>
      <t>JP</t>
    </r>
    <r>
      <rPr>
        <sz val="11"/>
        <color rgb="FF000000"/>
        <rFont val="Calibri"/>
      </rPr>
      <t xml:space="preserve"> = (J</t>
    </r>
    <r>
      <rPr>
        <vertAlign val="subscript"/>
        <sz val="11"/>
        <color rgb="FF000000"/>
        <rFont val="Calibri"/>
      </rPr>
      <t>P</t>
    </r>
    <r>
      <rPr>
        <sz val="11"/>
        <color rgb="FF000000"/>
        <rFont val="Calibri"/>
      </rPr>
      <t xml:space="preserve"> / J</t>
    </r>
    <r>
      <rPr>
        <vertAlign val="subscript"/>
        <sz val="11"/>
        <color rgb="FF000000"/>
        <rFont val="Calibri"/>
      </rPr>
      <t>B</t>
    </r>
    <r>
      <rPr>
        <sz val="11"/>
        <color rgb="FF000000"/>
        <rFont val="Calibri"/>
      </rPr>
      <t>) x 100%</t>
    </r>
  </si>
  <si>
    <t>C.6.4.e) Monitoring dan Evaluasi Proses Pembelajaran</t>
  </si>
  <si>
    <t>Monitoring dan evaluasi pelaksanaan proses pembelajaran mencakup karakteristik, perencanaan, pelaksanaan, proses pembelajaran dan beban belajar mahasiswa untuk memperoleh capaian pembelajaran lulusan.</t>
  </si>
  <si>
    <t>UPPS memiliki bukti sahih tentang sistem dan pelaksanaan monitoring dan evaluasi proses pembelajaran mencakup karakteristik, perencanaan, pelaksanaan, proses pembelajaran dan beban belajar mahasiswa yang dilaksanakan secara konsisten dan ditindak lanjuti.</t>
  </si>
  <si>
    <t>UPPS memiliki bukti sahih tentang sistem dan pelaksanaan monitoring dan evaluasi proses pembelajaran mencakup karakteristik, perencanaan, pelaksanaan, proses pembelajaran dan beban belajar mahasiswa yang dilaksanakan secara konsisten.</t>
  </si>
  <si>
    <t>UPPS memiliki bukti sahih tentang sistem dan pelaksanaan monitoring dan evaluasi proses pembelajaran mencakup karakteristik, perencanaan, pelaksanaan, proses pembelajaran dan beban belajar mahasiswa.</t>
  </si>
  <si>
    <t>UPPS telah melaksanakan monitoring dan evaluasi proses pembelajaran mencakup karakteristik, perencanaan, pelaksanaan, proses pembelajaran dan beban belajar mahasiswa namun tidak semua didukung bukti sahih.</t>
  </si>
  <si>
    <t>UPPS tidak melaksanakan monitoring dan evaluasi proses pembelajaran mencakup karakteristik, perencanaan, pelaksanaan, proses pembelajaran dan beban belajar mahasiswa.</t>
  </si>
  <si>
    <t>C.6.4.f) Penilaian Pembelajaran</t>
  </si>
  <si>
    <t>A. Mutu pelaksanaan penilaian pembelajaran (proses dan hasil belajar mahasiswa) untuk mengukur ketercapaian capaian pembelajaran berdasarkan prinsip penilaian yang mencakup: 1) edukatif, 2) otentik, 3) objektif, 4) akuntabel, dan 5) transparan, yang dilakukan secara terintegrasi.</t>
  </si>
  <si>
    <t>Terdapat bukti sahih tentang dipenuhinya 5 prinsip penilaian yang dilakukan secara terintegrasi dan dilengkapi dengan rubrik/portofolio penilaian minimum 70% jumlah matakuliah.</t>
  </si>
  <si>
    <t>Terdapat bukti sahih tentang dipenuhinya 5 prinsip penilaian yang  dilakukan secara terintegrasi dan dilengkapi dengan rubrik/portofolio penilaian minimum 50% jumlah matakuliah.</t>
  </si>
  <si>
    <t>Terdapat bukti sahih tentang dipenuhinya 5 prinsip penilaian yang dilakukan secara terintegrasi.</t>
  </si>
  <si>
    <t>Terdapat bukti sahih tentang dipenuhinya 5 prinsip penilaian yang tidak dilakukan secara terintegrasi.</t>
  </si>
  <si>
    <t>Tidak terdapat bukti sahih tentang dipenuhinya 5 prinsip penilaian.</t>
  </si>
  <si>
    <t>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t>
  </si>
  <si>
    <t xml:space="preserve">Terdapat bukti sahih yang menunjukkan kesesuaian teknik dan instrumen penilaian terhadap capaian pembelajaran minimum 75% s.d. 100% dari jumlah matakuliah. </t>
  </si>
  <si>
    <t xml:space="preserve">Terdapat bukti sahih yang menunjukkan kesesuaian teknik dan instrumen penilaian terhadap capaian pembelajaran minimum 50 s.d. &lt; 75% dari jumlah matakuliah.  </t>
  </si>
  <si>
    <t xml:space="preserve">Terdapat bukti sahih yang menunjukkan kesesuaian teknik dan instrumen penilaian terhadap capaian pembelajaran yang dinilai minimum 25 s.d. &lt; 50%  dari jumlah matakuliah.  </t>
  </si>
  <si>
    <t xml:space="preserve">Terdapat bukti sahih yang menunjukkan kesesuaian teknik dan instrumen penilaian terhadap capaian pembelajaran yang dinilai &lt; 25% dari jumlah matakuliah.  </t>
  </si>
  <si>
    <t>Tidak terdapat bukti sahih yang menunjukkan kesesuaian teknik dan instrumen penilaian terhadap capaian pembelajaran.</t>
  </si>
  <si>
    <t>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</si>
  <si>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 xml:space="preserve">Terdapat bukti sahih pelaksanaan penilaian mencakup 7 unsur. </t>
  </si>
  <si>
    <t xml:space="preserve">Terdapat bukti sahih pelaksanaan penilaian mencakup minimum unsur 1, 4 dan 6 serta 2 unsur lainnya. </t>
  </si>
  <si>
    <t xml:space="preserve">Terdapat bukti sahih pelaksanaan penilaian mencakup minimum unsur 1, 4 dan 6. </t>
  </si>
  <si>
    <t>Terdapat bukti sahih pelaksanaan penilaian hanya mencakup unsur 6.</t>
  </si>
  <si>
    <t>C.6.4.g) Integrasi kegiatan penelitian dan PkM dalam pembelajaran</t>
  </si>
  <si>
    <t>Integrasi kegiatan penelitian dan PkM dalam pembelajaran oleh DTPS dalam 3 tahun terakhir.
Tabel 5.b LKPS</t>
  </si>
  <si>
    <t>MK = Jumlah mata kuliah yang dikembangkan berdasarkan hasil penelitian/PkM DTPS dalam 3 tahun terakhir.</t>
  </si>
  <si>
    <t>C.6.4.h) Suasana Akademik</t>
  </si>
  <si>
    <t>Keterlaksanaan dan keberkalaan program dan kegiatan diluar kegiatan pembelajaran terstruktur untuk meningkatkan suasana akademik.
Contoh: kegiatan himpunan mahasiswa, kuliah umum/studium generale, seminar ilmiah, bedah buku.</t>
  </si>
  <si>
    <t>Kegiatan ilmiah yang terjadwal dilaksanakan setiap bulan.</t>
  </si>
  <si>
    <t>Kegiatan ilmiah yang terjadwal dilaksanakan dua s.d tiga bulan sekali.</t>
  </si>
  <si>
    <t>Kegiatan ilmiah yang terjadwal dilaksanakan empat s.d. enam bulan sekali.</t>
  </si>
  <si>
    <t>Kegiatan ilmiah yang terjadwal dilaksanakan lebih dari enam bulan sekali.</t>
  </si>
  <si>
    <t>C.6.4.i) Kepuasan Mahasiswa</t>
  </si>
  <si>
    <r>
      <t>A. Tingkat kepuasan mahasiswa terhadap proses pendidikan.
Tabel 5.c LKPS
Aspek yang diukur: 1) Keandalan (</t>
    </r>
    <r>
      <rPr>
        <i/>
        <sz val="11"/>
        <color rgb="FF000000"/>
        <rFont val="Calibri"/>
      </rPr>
      <t>reliability</t>
    </r>
    <r>
      <rPr>
        <sz val="11"/>
        <color rgb="FF000000"/>
        <rFont val="Calibri"/>
      </rPr>
      <t>): kemampuan dosen, tenaga kependidikan, dan pengelola dalam memberikan pelayanan; 2) Daya tanggap (responsiveness): kemauan dari dosen, tenaga kependidikan, dan pengelola dalam membantu mahasiswa dan memberikan jasa dengan cepat; 3) Kepastian (assurance): kemampuan dosen, tenaga kependidikan, dan pengelola untuk memberi keyakinan kepada mahasiswa bahwa pelayanan yang diberikan telah sesuai dengan ketentuan; 4) Empati (empathy): kesediaan/kepedulian dosen, tenaga kependidikan, dan pengelola untuk memberi perhatian kepada mahasiswa; dan 5) Tangible: penilaian mahasiswa terhadap kecukupan, aksesibitas, kualitas sarana dan prasarana.</t>
    </r>
  </si>
  <si>
    <t>Reliability</t>
  </si>
  <si>
    <t>% Sangat Baik</t>
  </si>
  <si>
    <t>% Baik</t>
  </si>
  <si>
    <t>% Cukup</t>
  </si>
  <si>
    <t>% Kurang</t>
  </si>
  <si>
    <r>
      <t>TKM</t>
    </r>
    <r>
      <rPr>
        <vertAlign val="subscript"/>
        <sz val="11"/>
        <color rgb="FF000000"/>
        <rFont val="Calibri"/>
      </rPr>
      <t>1</t>
    </r>
  </si>
  <si>
    <t>Responsiveness</t>
  </si>
  <si>
    <r>
      <t>TKM</t>
    </r>
    <r>
      <rPr>
        <vertAlign val="subscript"/>
        <sz val="11"/>
        <color rgb="FF000000"/>
        <rFont val="Calibri"/>
      </rPr>
      <t>2</t>
    </r>
  </si>
  <si>
    <t>Assurance</t>
  </si>
  <si>
    <r>
      <t>TKM</t>
    </r>
    <r>
      <rPr>
        <vertAlign val="subscript"/>
        <sz val="11"/>
        <color rgb="FF000000"/>
        <rFont val="Calibri"/>
      </rPr>
      <t>3</t>
    </r>
  </si>
  <si>
    <t>Empathy</t>
  </si>
  <si>
    <r>
      <t>TKM</t>
    </r>
    <r>
      <rPr>
        <vertAlign val="subscript"/>
        <sz val="11"/>
        <color rgb="FF000000"/>
        <rFont val="Calibri"/>
      </rPr>
      <t>4</t>
    </r>
  </si>
  <si>
    <t>Tangible</t>
  </si>
  <si>
    <r>
      <t>TKM</t>
    </r>
    <r>
      <rPr>
        <vertAlign val="subscript"/>
        <sz val="11"/>
        <color rgb="FF000000"/>
        <rFont val="Calibri"/>
      </rPr>
      <t>5</t>
    </r>
  </si>
  <si>
    <r>
      <t>TKM = ƩTKM</t>
    </r>
    <r>
      <rPr>
        <vertAlign val="subscript"/>
        <sz val="11"/>
        <color rgb="FF000000"/>
        <rFont val="Calibri"/>
      </rPr>
      <t>i</t>
    </r>
    <r>
      <rPr>
        <sz val="11"/>
        <color rgb="FF000000"/>
        <rFont val="Calibri"/>
      </rPr>
      <t xml:space="preserve"> / 5</t>
    </r>
  </si>
  <si>
    <t>B. Analisis dan tindak lanjut dari hasil pengukuran kepuasan mahasiswa.</t>
  </si>
  <si>
    <t>Hasil pengukuran dianalisis dan ditindaklanjuti minimal 2 kali setiap semester, serta digunakan untuk perbaikan proses pembelajaran dan menunjukkan peningkatan hasil pembelajaran.</t>
  </si>
  <si>
    <t>Hasil pengukuran dianalisis dan ditindaklanjuti setiap semester, serta digunakan untuk perbaikan proses pembelajaran dan menunjukkan peningkatan hasil pembelajaran.</t>
  </si>
  <si>
    <t>Hasil pengukuran dianalisis dan ditindaklanjuti setiap tahun, serta digunakan untuk perbaikan proses pembelajaran.</t>
  </si>
  <si>
    <t>Hasil pengukuran dianalisis dan ditindaklanjuti, serta digunakan untuk perbaikan proses pembelajaran, namun dilakukan secara insidentil.</t>
  </si>
  <si>
    <t>Tidak dilakukan analisis terhadap hasil pengukuran kepuasan terhadap proses pembelajaran.</t>
  </si>
  <si>
    <r>
      <rPr>
        <b/>
        <sz val="11"/>
        <color rgb="FF000000"/>
        <rFont val="Calibri"/>
      </rPr>
      <t>C.7
Penelitian</t>
    </r>
    <r>
      <rPr>
        <sz val="11"/>
        <color rgb="FF000000"/>
        <rFont val="Calibri"/>
      </rPr>
      <t xml:space="preserve">
C.7.4
Indikator Kinerja Utama
C.7.4.a)
Relevansi Penelitian
</t>
    </r>
  </si>
  <si>
    <t>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</si>
  <si>
    <t>UPPS memenuhi 4 unsur relevansi penelitian dosen dan mahasiswa.</t>
  </si>
  <si>
    <t>UPPS memenuhi  unsur 1, 2, dan 3 relevansi penelitian dosen dan mahasiswa.</t>
  </si>
  <si>
    <t>UPPS memenuhi  unsur 1, dan 2 relevansi penelitian dosen dan mahasiswa.</t>
  </si>
  <si>
    <t>UPPS memenuhi  unsur pertama namun penelitian dosen dan mahasiswa tidak sesuai dengan peta jalan.</t>
  </si>
  <si>
    <t>UPPS tidak mempunyai peta jalan penelitian dosen dan mahasiswa.</t>
  </si>
  <si>
    <t>C.7.4.b) Penelitian Dosen dan Mahasiswa</t>
  </si>
  <si>
    <t>Penelitian DTPS yang dalam pelaksanaannya melibatkan mahasiswa program studi dalam 3 tahun terakhir.
Tabel 6.a LKPS</t>
  </si>
  <si>
    <r>
      <t>N</t>
    </r>
    <r>
      <rPr>
        <vertAlign val="subscript"/>
        <sz val="11"/>
        <color rgb="FF000000"/>
        <rFont val="Calibri"/>
      </rPr>
      <t>PM</t>
    </r>
    <r>
      <rPr>
        <sz val="11"/>
        <color rgb="FF000000"/>
        <rFont val="Calibri"/>
      </rPr>
      <t xml:space="preserve"> = Jumlah judul penelitian DTPS yang dalam pelaksanaannya melibatkan mahasiswa program studi dalam 3 tahun terakhir.</t>
    </r>
  </si>
  <si>
    <r>
      <t>N</t>
    </r>
    <r>
      <rPr>
        <vertAlign val="subscript"/>
        <sz val="11"/>
        <color rgb="FF000000"/>
        <rFont val="Calibri"/>
      </rPr>
      <t>PD</t>
    </r>
    <r>
      <rPr>
        <sz val="11"/>
        <color rgb="FF000000"/>
        <rFont val="Calibri"/>
      </rPr>
      <t xml:space="preserve"> = Jumlah judul penelitian DTPS dalam 3 tahun terakhir. </t>
    </r>
  </si>
  <si>
    <r>
      <t>P</t>
    </r>
    <r>
      <rPr>
        <vertAlign val="subscript"/>
        <sz val="11"/>
        <color rgb="FF000000"/>
        <rFont val="Calibri"/>
      </rPr>
      <t>PDM</t>
    </r>
    <r>
      <rPr>
        <sz val="11"/>
        <color rgb="FF000000"/>
        <rFont val="Calibri"/>
      </rPr>
      <t xml:space="preserve"> = (N</t>
    </r>
    <r>
      <rPr>
        <vertAlign val="subscript"/>
        <sz val="11"/>
        <color rgb="FF000000"/>
        <rFont val="Calibri"/>
      </rPr>
      <t>PM</t>
    </r>
    <r>
      <rPr>
        <sz val="11"/>
        <color rgb="FF000000"/>
        <rFont val="Calibri"/>
      </rPr>
      <t xml:space="preserve"> / N</t>
    </r>
    <r>
      <rPr>
        <vertAlign val="subscript"/>
        <sz val="11"/>
        <color rgb="FF000000"/>
        <rFont val="Calibri"/>
      </rPr>
      <t>PkMD</t>
    </r>
    <r>
      <rPr>
        <sz val="11"/>
        <color rgb="FF000000"/>
        <rFont val="Calibri"/>
      </rPr>
      <t xml:space="preserve">) x 100% </t>
    </r>
  </si>
  <si>
    <r>
      <rPr>
        <b/>
        <sz val="11"/>
        <color rgb="FF000000"/>
        <rFont val="Calibri"/>
      </rPr>
      <t>C.8
Pengabdian kepada Masyarakat</t>
    </r>
    <r>
      <rPr>
        <sz val="11"/>
        <color rgb="FF000000"/>
        <rFont val="Calibri"/>
      </rPr>
      <t xml:space="preserve">
C.8.4
Indikator Kinerja Utama
C.8.4.a)
Relevansi PkM</t>
    </r>
  </si>
  <si>
    <t>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</si>
  <si>
    <t>UPPS memenuhi 4 unsur relevansi PkM dosen dan mahasiswa.</t>
  </si>
  <si>
    <t>UPPS memenuhi  unsur 1, 2, dan 3 relevansi PkM dosen dan mahasiswa.</t>
  </si>
  <si>
    <t>UPPS memenuhi  unsur 1, dan 2 relevansi PkM dosen dan mahasiswa.</t>
  </si>
  <si>
    <t>UPPS memenuhi  unsur pertama namun PkM dosen dan mahasiswa tidak sesuai dengan peta jalan.</t>
  </si>
  <si>
    <t>UPPS tidak mempunyai peta jalan PkM dosen dan mahasiswa.</t>
  </si>
  <si>
    <t>C.8.4.b) PkM Dosen dan Mahasiswa</t>
  </si>
  <si>
    <t>PkM DTPS yang dalam pelaksanaannya melibatkan mahasiswa program studi dalam 3 tahun terakhir.
Tabel 7 LKPS</t>
  </si>
  <si>
    <r>
      <t>N</t>
    </r>
    <r>
      <rPr>
        <vertAlign val="subscript"/>
        <sz val="11"/>
        <color rgb="FF000000"/>
        <rFont val="Calibri"/>
      </rPr>
      <t>PkMM</t>
    </r>
    <r>
      <rPr>
        <sz val="11"/>
        <color rgb="FF000000"/>
        <rFont val="Calibri"/>
      </rPr>
      <t xml:space="preserve"> = Jumlah judul PkM DTPS yang dalam pelaksanaannya melibatkan mahasiswa program studi dalam 3 tahun terakhir.</t>
    </r>
  </si>
  <si>
    <r>
      <t>N</t>
    </r>
    <r>
      <rPr>
        <vertAlign val="subscript"/>
        <sz val="11"/>
        <color rgb="FF000000"/>
        <rFont val="Calibri"/>
      </rPr>
      <t>PkMD</t>
    </r>
    <r>
      <rPr>
        <sz val="11"/>
        <color rgb="FF000000"/>
        <rFont val="Calibri"/>
      </rPr>
      <t xml:space="preserve"> = Jumlah judul PkM DTPS dalam 3 tahun terakhir. </t>
    </r>
  </si>
  <si>
    <r>
      <t>P</t>
    </r>
    <r>
      <rPr>
        <vertAlign val="subscript"/>
        <sz val="11"/>
        <color rgb="FF000000"/>
        <rFont val="Calibri"/>
      </rPr>
      <t>PkMDM</t>
    </r>
    <r>
      <rPr>
        <sz val="11"/>
        <color rgb="FF000000"/>
        <rFont val="Calibri"/>
      </rPr>
      <t xml:space="preserve"> = (N</t>
    </r>
    <r>
      <rPr>
        <vertAlign val="subscript"/>
        <sz val="11"/>
        <color rgb="FF000000"/>
        <rFont val="Calibri"/>
      </rPr>
      <t>PkMM</t>
    </r>
    <r>
      <rPr>
        <sz val="11"/>
        <color rgb="FF000000"/>
        <rFont val="Calibri"/>
      </rPr>
      <t xml:space="preserve"> / N</t>
    </r>
    <r>
      <rPr>
        <vertAlign val="subscript"/>
        <sz val="11"/>
        <color rgb="FF000000"/>
        <rFont val="Calibri"/>
      </rPr>
      <t>PkMD</t>
    </r>
    <r>
      <rPr>
        <sz val="11"/>
        <color rgb="FF000000"/>
        <rFont val="Calibri"/>
      </rPr>
      <t xml:space="preserve">) x 100% </t>
    </r>
  </si>
  <si>
    <r>
      <rPr>
        <b/>
        <sz val="11"/>
        <color rgb="FF000000"/>
        <rFont val="Calibri"/>
      </rPr>
      <t>C.9
Luaran dan Capaian Tridharma</t>
    </r>
    <r>
      <rPr>
        <sz val="11"/>
        <color rgb="FF000000"/>
        <rFont val="Calibri"/>
      </rPr>
      <t xml:space="preserve">
C.9.4 
Indikator Kinerja Utama
C.9.4.a)
Luaran Dharma Pendidikan</t>
    </r>
  </si>
  <si>
    <t>Analisis pemenuhan capaian pembelajaran lulusan (CPL) yang diukur dengan metoda yang sahih dan relevan, mencakup aspek:
1) keserbacakupan, 
2) kedalaman, dan 
3) kebermanfaatan analisis yang ditunjukkan dengan peningkatan CPL dari waktu ke waktu dalam 3 tahun terakhir.</t>
  </si>
  <si>
    <t xml:space="preserve">Analisis capaian pembelajaran lulusan memenuhi 3 aspek. </t>
  </si>
  <si>
    <t xml:space="preserve">Analisis capaian pembelajaran lulusan memenuhi 2 aspek. </t>
  </si>
  <si>
    <t xml:space="preserve">Analisis capaian pembelajaran lulusan memenuhi 1 aspek. </t>
  </si>
  <si>
    <t xml:space="preserve">Analisis capaian pembelajaran lulusan tidak memenuhi ketiga aspek. </t>
  </si>
  <si>
    <t>Tidak dilakukan analisis capaian pembelajaran lulusan.</t>
  </si>
  <si>
    <t>IPK lulusan.
Tabel 8.a LKPS</t>
  </si>
  <si>
    <t>Jumlah Lulusan pada TS-2</t>
  </si>
  <si>
    <t>Jumlah Lulusan pada TS-1</t>
  </si>
  <si>
    <t>Jumlah Lulusan pada TS</t>
  </si>
  <si>
    <t>IPK Rata-rata pada TS-2</t>
  </si>
  <si>
    <t>IPK Rata-rata pada TS-1</t>
  </si>
  <si>
    <t>IPK Rata-rata pada TS</t>
  </si>
  <si>
    <t>RIPK = Rata-rata IPK lulusan dalam 3 tahun terakhir.</t>
  </si>
  <si>
    <t>Prestasi mahasiswa di bidang akademik dalam 3 tahun terakhir.
Tabel 8.b.1) LKPS</t>
  </si>
  <si>
    <r>
      <t>N</t>
    </r>
    <r>
      <rPr>
        <vertAlign val="subscript"/>
        <sz val="11"/>
        <color rgb="FF000000"/>
        <rFont val="Calibri"/>
      </rPr>
      <t>I</t>
    </r>
    <r>
      <rPr>
        <sz val="11"/>
        <color rgb="FF000000"/>
        <rFont val="Calibri"/>
      </rPr>
      <t xml:space="preserve"> = Jumlah prestasi akademik internasional.</t>
    </r>
  </si>
  <si>
    <r>
      <t>N</t>
    </r>
    <r>
      <rPr>
        <vertAlign val="subscript"/>
        <sz val="11"/>
        <color rgb="FF000000"/>
        <rFont val="Calibri"/>
      </rPr>
      <t>N</t>
    </r>
    <r>
      <rPr>
        <sz val="11"/>
        <color rgb="FF000000"/>
        <rFont val="Calibri"/>
      </rPr>
      <t xml:space="preserve"> = Jumlah prestasi akademik nasional.</t>
    </r>
  </si>
  <si>
    <r>
      <t>N</t>
    </r>
    <r>
      <rPr>
        <vertAlign val="subscript"/>
        <sz val="11"/>
        <color rgb="FF000000"/>
        <rFont val="Calibri"/>
      </rPr>
      <t>W</t>
    </r>
    <r>
      <rPr>
        <sz val="11"/>
        <color rgb="FF000000"/>
        <rFont val="Calibri"/>
      </rPr>
      <t xml:space="preserve"> = Jumlah prestasi akademik wilayah/lokal.</t>
    </r>
  </si>
  <si>
    <r>
      <t>R</t>
    </r>
    <r>
      <rPr>
        <vertAlign val="subscript"/>
        <sz val="11"/>
        <color rgb="FF000000"/>
        <rFont val="Calibri"/>
      </rPr>
      <t>I</t>
    </r>
    <r>
      <rPr>
        <sz val="11"/>
        <color rgb="FF000000"/>
        <rFont val="Calibri"/>
      </rPr>
      <t xml:space="preserve"> = N</t>
    </r>
    <r>
      <rPr>
        <vertAlign val="subscript"/>
        <sz val="11"/>
        <color rgb="FF000000"/>
        <rFont val="Calibri"/>
      </rPr>
      <t>I</t>
    </r>
    <r>
      <rPr>
        <sz val="11"/>
        <color rgb="FF000000"/>
        <rFont val="Calibri"/>
      </rPr>
      <t xml:space="preserve"> / N</t>
    </r>
    <r>
      <rPr>
        <vertAlign val="subscript"/>
        <sz val="11"/>
        <color rgb="FF000000"/>
        <rFont val="Calibri"/>
      </rPr>
      <t>M</t>
    </r>
  </si>
  <si>
    <r>
      <t>R</t>
    </r>
    <r>
      <rPr>
        <vertAlign val="subscript"/>
        <sz val="11"/>
        <color rgb="FF000000"/>
        <rFont val="Calibri"/>
      </rPr>
      <t>N</t>
    </r>
    <r>
      <rPr>
        <sz val="11"/>
        <color rgb="FF000000"/>
        <rFont val="Calibri"/>
      </rPr>
      <t xml:space="preserve"> = N</t>
    </r>
    <r>
      <rPr>
        <vertAlign val="subscript"/>
        <sz val="11"/>
        <color rgb="FF000000"/>
        <rFont val="Calibri"/>
      </rPr>
      <t>N</t>
    </r>
    <r>
      <rPr>
        <sz val="11"/>
        <color rgb="FF000000"/>
        <rFont val="Calibri"/>
      </rPr>
      <t xml:space="preserve"> / N</t>
    </r>
    <r>
      <rPr>
        <vertAlign val="subscript"/>
        <sz val="11"/>
        <color rgb="FF000000"/>
        <rFont val="Calibri"/>
      </rPr>
      <t>M</t>
    </r>
  </si>
  <si>
    <r>
      <t>R</t>
    </r>
    <r>
      <rPr>
        <vertAlign val="subscript"/>
        <sz val="11"/>
        <color rgb="FF000000"/>
        <rFont val="Calibri"/>
      </rPr>
      <t>W</t>
    </r>
    <r>
      <rPr>
        <sz val="11"/>
        <color rgb="FF000000"/>
        <rFont val="Calibri"/>
      </rPr>
      <t xml:space="preserve"> = N</t>
    </r>
    <r>
      <rPr>
        <vertAlign val="subscript"/>
        <sz val="11"/>
        <color rgb="FF000000"/>
        <rFont val="Calibri"/>
      </rPr>
      <t>W</t>
    </r>
    <r>
      <rPr>
        <sz val="11"/>
        <color rgb="FF000000"/>
        <rFont val="Calibri"/>
      </rPr>
      <t xml:space="preserve"> / N</t>
    </r>
    <r>
      <rPr>
        <vertAlign val="subscript"/>
        <sz val="11"/>
        <color rgb="FF000000"/>
        <rFont val="Calibri"/>
      </rPr>
      <t>M</t>
    </r>
  </si>
  <si>
    <t>2: RI = 0 DAN RN = 0 DAN RW ≥ c</t>
  </si>
  <si>
    <t>0-2: RI = 0 DAN RN = 0 DAN RW &lt; c</t>
  </si>
  <si>
    <t>Prestasi mahasiswa di bidang nonakademik dalam 3 tahun terakhir.
Tabel 8.b.2) LKPS</t>
  </si>
  <si>
    <r>
      <t>N</t>
    </r>
    <r>
      <rPr>
        <vertAlign val="subscript"/>
        <sz val="11"/>
        <color rgb="FF000000"/>
        <rFont val="Calibri"/>
      </rPr>
      <t>I</t>
    </r>
    <r>
      <rPr>
        <sz val="11"/>
        <color rgb="FF000000"/>
        <rFont val="Calibri"/>
      </rPr>
      <t xml:space="preserve"> = Jumlah prestasi nonakademik internasional.</t>
    </r>
  </si>
  <si>
    <r>
      <t>N</t>
    </r>
    <r>
      <rPr>
        <vertAlign val="subscript"/>
        <sz val="11"/>
        <color rgb="FF000000"/>
        <rFont val="Calibri"/>
      </rPr>
      <t>N</t>
    </r>
    <r>
      <rPr>
        <sz val="11"/>
        <color rgb="FF000000"/>
        <rFont val="Calibri"/>
      </rPr>
      <t xml:space="preserve"> = Jumlah prestasi nonakademik nasional.</t>
    </r>
  </si>
  <si>
    <r>
      <t>N</t>
    </r>
    <r>
      <rPr>
        <vertAlign val="subscript"/>
        <sz val="11"/>
        <color rgb="FF000000"/>
        <rFont val="Calibri"/>
      </rPr>
      <t>W</t>
    </r>
    <r>
      <rPr>
        <sz val="11"/>
        <color rgb="FF000000"/>
        <rFont val="Calibri"/>
      </rPr>
      <t xml:space="preserve"> = Jumlah prestasi nonakademik wilayah/lokal.</t>
    </r>
  </si>
  <si>
    <t>Masa studi.
Tabel 8.c LKPS</t>
  </si>
  <si>
    <t>Jumlah lulusan pada akhir TS dari mahasiswa tahun masuk TS-6</t>
  </si>
  <si>
    <t>Rata-rata masa studi lulusan dari mahasiswa tahun masuk TS-6 (Tahun)</t>
  </si>
  <si>
    <t>Jumlah lulusan pada akhir TS dari mahasiswa tahun masuk TS-5</t>
  </si>
  <si>
    <t>Rata-rata masa studi lulusan dari mahasiswa tahun masuk TS-5 (Tahun)</t>
  </si>
  <si>
    <t>Jumlah lulusan pada akhir TS dari mahasiswa tahun masuk TS-4</t>
  </si>
  <si>
    <t>Rata-rata masa studi lulusan dari mahasiswa tahun masuk TS-4 (Tahun)</t>
  </si>
  <si>
    <t>Jumlah lulusan pada akhir TS dari mahasiswa tahun masuk TS-3</t>
  </si>
  <si>
    <t>Rata-rata masa studi lulusan dari mahasiswa tahun masuk TS-3 (Tahun)</t>
  </si>
  <si>
    <t>MS = Rata-rata masa studi lulusan (Tahun)</t>
  </si>
  <si>
    <t>Kelulusan tepat waktu.
Tabel 8.c LKPS</t>
  </si>
  <si>
    <t>Jumlah Mahasiswa Diterima pada TS-6</t>
  </si>
  <si>
    <t>Jumlah Mahasiswa Diterima pada TS-5</t>
  </si>
  <si>
    <t>Jumlah Mahasiswa Diterima pada TS-4</t>
  </si>
  <si>
    <t>Jumlah Mahasiswa Diterima pada TS-3</t>
  </si>
  <si>
    <t>Jumlah Mahasiswa yang Lulus pada Akhir TS-3</t>
  </si>
  <si>
    <t>Jumlah Mahasiswa yang Lulus pada Akhir TS-2</t>
  </si>
  <si>
    <t>Jumlah Mahasiswa yang Lulus pada Akhir TS-1</t>
  </si>
  <si>
    <t>Jumlah Mahasiswa yang Lulus pada Akhir TS</t>
  </si>
  <si>
    <t>PTW = Persentase kelulusan tepat waktu.</t>
  </si>
  <si>
    <t>Keberhasilan studi.
Tabel 8.c LKPS</t>
  </si>
  <si>
    <t>Jumlah mahasiswa diterima pada TS-6</t>
  </si>
  <si>
    <t>Jumlah mahasiswa yang lulus pada akhir TS-3</t>
  </si>
  <si>
    <t>Jumlah mahasiswa yang lulus pada akhir TS-2</t>
  </si>
  <si>
    <t>Jumlah mahasiswa yang lulus pada akhir TS-1</t>
  </si>
  <si>
    <t>Jumlah mahasiswa yang lulus pada akhir TS</t>
  </si>
  <si>
    <t>PPS = Persentase keberhasilan studi.</t>
  </si>
  <si>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5) hasilnya disosialisasikan dan digunakan untuk pengembangan kurikulum dan pembelajaran. </t>
  </si>
  <si>
    <t>Tracer study yang dilakukan UPPS telah mencakup 5 aspek.</t>
  </si>
  <si>
    <t>Tracer study yang dilakukan UPPS telah mencakup 4 aspek.</t>
  </si>
  <si>
    <t>Tracer study yang dilakukan UPPS telah mencakup 3 aspek.</t>
  </si>
  <si>
    <t>Tracer study yang dilakukan UPPS telah mencakup 2 aspek.</t>
  </si>
  <si>
    <t>UPPS tidak melaksanakan tracer study.</t>
  </si>
  <si>
    <t>STUDI PENELUSURAN LULUSAN
TABEL REFERENSI 8.d.1)</t>
  </si>
  <si>
    <r>
      <t>N</t>
    </r>
    <r>
      <rPr>
        <vertAlign val="subscript"/>
        <sz val="11"/>
        <color rgb="FF000000"/>
        <rFont val="Calibri"/>
      </rPr>
      <t>L4</t>
    </r>
    <r>
      <rPr>
        <sz val="11"/>
        <color rgb="FF000000"/>
        <rFont val="Calibri"/>
      </rPr>
      <t xml:space="preserve"> = Jumlah lulusan pada TS-4</t>
    </r>
  </si>
  <si>
    <r>
      <t>N</t>
    </r>
    <r>
      <rPr>
        <vertAlign val="subscript"/>
        <sz val="11"/>
        <color rgb="FF000000"/>
        <rFont val="Calibri"/>
      </rPr>
      <t>L3</t>
    </r>
    <r>
      <rPr>
        <sz val="11"/>
        <color rgb="FF000000"/>
        <rFont val="Calibri"/>
      </rPr>
      <t xml:space="preserve"> = Jumlah lulusan pada TS-3</t>
    </r>
  </si>
  <si>
    <r>
      <t>N</t>
    </r>
    <r>
      <rPr>
        <vertAlign val="subscript"/>
        <sz val="11"/>
        <color rgb="FF000000"/>
        <rFont val="Calibri"/>
      </rPr>
      <t>L2</t>
    </r>
    <r>
      <rPr>
        <sz val="11"/>
        <color rgb="FF000000"/>
        <rFont val="Calibri"/>
      </rPr>
      <t xml:space="preserve"> = Jumlah lulusan pada TS-2</t>
    </r>
  </si>
  <si>
    <r>
      <t>N</t>
    </r>
    <r>
      <rPr>
        <vertAlign val="subscript"/>
        <sz val="11"/>
        <color rgb="FF000000"/>
        <rFont val="Calibri"/>
      </rPr>
      <t>J4</t>
    </r>
    <r>
      <rPr>
        <sz val="11"/>
        <color rgb="FF000000"/>
        <rFont val="Calibri"/>
      </rPr>
      <t xml:space="preserve"> = Jumlah lulusan pada TS-4 yang terlacak</t>
    </r>
  </si>
  <si>
    <r>
      <t>N</t>
    </r>
    <r>
      <rPr>
        <vertAlign val="subscript"/>
        <sz val="11"/>
        <color rgb="FF000000"/>
        <rFont val="Calibri"/>
      </rPr>
      <t>J3</t>
    </r>
    <r>
      <rPr>
        <sz val="11"/>
        <color rgb="FF000000"/>
        <rFont val="Calibri"/>
      </rPr>
      <t xml:space="preserve"> = Jumlah lulusan pada TS-3 yang terlacak</t>
    </r>
  </si>
  <si>
    <r>
      <t>N</t>
    </r>
    <r>
      <rPr>
        <vertAlign val="subscript"/>
        <sz val="11"/>
        <color rgb="FF000000"/>
        <rFont val="Calibri"/>
      </rPr>
      <t>J3</t>
    </r>
    <r>
      <rPr>
        <sz val="11"/>
        <color rgb="FF000000"/>
        <rFont val="Calibri"/>
      </rPr>
      <t xml:space="preserve"> = Jumlah lulusan pada TS-2 yang terlacak</t>
    </r>
  </si>
  <si>
    <r>
      <t>Kategori jumlah lulusan dalam 3 tahun (1: N</t>
    </r>
    <r>
      <rPr>
        <vertAlign val="subscript"/>
        <sz val="11"/>
        <color rgb="FF000000"/>
        <rFont val="Calibri"/>
      </rPr>
      <t>L</t>
    </r>
    <r>
      <rPr>
        <sz val="11"/>
        <color rgb="FF000000"/>
        <rFont val="Calibri"/>
      </rPr>
      <t xml:space="preserve"> </t>
    </r>
    <r>
      <rPr>
        <sz val="11"/>
        <color rgb="FF000000"/>
        <rFont val="Symbol"/>
      </rPr>
      <t>³</t>
    </r>
    <r>
      <rPr>
        <sz val="11"/>
        <color rgb="FF000000"/>
        <rFont val="Calibri"/>
      </rPr>
      <t xml:space="preserve"> 300; 2: N</t>
    </r>
    <r>
      <rPr>
        <vertAlign val="subscript"/>
        <sz val="11"/>
        <color rgb="FF000000"/>
        <rFont val="Calibri"/>
      </rPr>
      <t>L</t>
    </r>
    <r>
      <rPr>
        <sz val="11"/>
        <color rgb="FF000000"/>
        <rFont val="Calibri"/>
      </rPr>
      <t xml:space="preserve"> &lt; 300)</t>
    </r>
  </si>
  <si>
    <t>Persentase responden lulusan</t>
  </si>
  <si>
    <r>
      <t>P</t>
    </r>
    <r>
      <rPr>
        <vertAlign val="subscript"/>
        <sz val="11"/>
        <color rgb="FF000000"/>
        <rFont val="Calibri"/>
      </rPr>
      <t>rmin</t>
    </r>
    <r>
      <rPr>
        <sz val="11"/>
        <color rgb="FF000000"/>
        <rFont val="Calibri"/>
      </rPr>
      <t xml:space="preserve"> = Persentase responden minimum</t>
    </r>
  </si>
  <si>
    <t>Waktu tunggu lulusan untuk mendapatkan pekerjaan pertama dalam 3 tahun, mulai TS-4 s.d. TS-2.
Tabel 8.d.1) LKPS</t>
  </si>
  <si>
    <t>Thn Lulus TS-4</t>
  </si>
  <si>
    <r>
      <t>Jumlah lulusan dengan W</t>
    </r>
    <r>
      <rPr>
        <sz val="11"/>
        <color rgb="FF000000"/>
        <rFont val="Calibri"/>
      </rPr>
      <t>T &lt; 3 bulan</t>
    </r>
  </si>
  <si>
    <r>
      <t>Jumlah lulusan dengan 3 bulan ≤ W</t>
    </r>
    <r>
      <rPr>
        <sz val="11"/>
        <color rgb="FF000000"/>
        <rFont val="Calibri"/>
      </rPr>
      <t>T ≤ 6 bulan</t>
    </r>
  </si>
  <si>
    <r>
      <t>Jumlah lulusan dengan W</t>
    </r>
    <r>
      <rPr>
        <sz val="11"/>
        <color rgb="FF000000"/>
        <rFont val="Calibri"/>
      </rPr>
      <t>T &gt; 6 bulan</t>
    </r>
  </si>
  <si>
    <t>Thn Lulus TS-3</t>
  </si>
  <si>
    <t>Thn Lulus TS-2</t>
  </si>
  <si>
    <t>mid1 =</t>
  </si>
  <si>
    <t>mid2 =</t>
  </si>
  <si>
    <t>mid3 =</t>
  </si>
  <si>
    <t>WT = Rata-rata masa tunggu lulusan (bulan)</t>
  </si>
  <si>
    <t>Skor Awal</t>
  </si>
  <si>
    <t>STUDI PENELUSURAN LULUSAN
TABEL REFERENSI 8.d.2)</t>
  </si>
  <si>
    <r>
      <t>N</t>
    </r>
    <r>
      <rPr>
        <vertAlign val="subscript"/>
        <sz val="11"/>
        <color rgb="FF000000"/>
        <rFont val="Calibri"/>
      </rPr>
      <t>J2</t>
    </r>
    <r>
      <rPr>
        <sz val="11"/>
        <color rgb="FF000000"/>
        <rFont val="Calibri"/>
      </rPr>
      <t xml:space="preserve"> = Jumlah lulusan pada TS-2 yang terlacak</t>
    </r>
  </si>
  <si>
    <t>Kesesuaian bidang kerja. 
Tabel 8.d.2) LKPS</t>
  </si>
  <si>
    <t>Jumlah lulusan dengan kesesuaian bidang kerja rendah</t>
  </si>
  <si>
    <t>Jumlah lulusan dengan kesesuaian bidang kerja sedang</t>
  </si>
  <si>
    <t>Jumlah lulusan dengan kesesuaian bidang kerja tinggi</t>
  </si>
  <si>
    <t>rendah</t>
  </si>
  <si>
    <t>sedang</t>
  </si>
  <si>
    <t>tinggi</t>
  </si>
  <si>
    <t>PBS = Kesesuaian bidang kerja lulusan saat mendapatkan pekerjaan pertama.</t>
  </si>
  <si>
    <t>STUDI PENELUSURAN LULUSAN
TABEL REFERENSI 8.e.1)</t>
  </si>
  <si>
    <r>
      <t>N</t>
    </r>
    <r>
      <rPr>
        <vertAlign val="subscript"/>
        <sz val="11"/>
        <color rgb="FF000000"/>
        <rFont val="Calibri"/>
      </rPr>
      <t>J4</t>
    </r>
    <r>
      <rPr>
        <sz val="11"/>
        <color rgb="FF000000"/>
        <rFont val="Calibri"/>
      </rPr>
      <t xml:space="preserve"> = Jumlah lulusan pada TS-4 yang terlacak (bekerja/berwirausaha)</t>
    </r>
  </si>
  <si>
    <r>
      <t>N</t>
    </r>
    <r>
      <rPr>
        <vertAlign val="subscript"/>
        <sz val="11"/>
        <color rgb="FF000000"/>
        <rFont val="Calibri"/>
      </rPr>
      <t>J3</t>
    </r>
    <r>
      <rPr>
        <sz val="11"/>
        <color rgb="FF000000"/>
        <rFont val="Calibri"/>
      </rPr>
      <t xml:space="preserve"> = Jumlah lulusan pada TS-3 yang terlacak (bekerja/berwirausaha)</t>
    </r>
  </si>
  <si>
    <r>
      <t>N</t>
    </r>
    <r>
      <rPr>
        <vertAlign val="subscript"/>
        <sz val="11"/>
        <color rgb="FF000000"/>
        <rFont val="Calibri"/>
      </rPr>
      <t>J2</t>
    </r>
    <r>
      <rPr>
        <sz val="11"/>
        <color rgb="FF000000"/>
        <rFont val="Calibri"/>
      </rPr>
      <t xml:space="preserve"> = Jumlah lulusan pada TS-2 yang terlacak (bekerja/berwirausaha)</t>
    </r>
  </si>
  <si>
    <t>Tingkat dan ukuran tempat kerja lulusan.
Tabel 8.e.1) LKPS</t>
  </si>
  <si>
    <t>Tahun Lulus TS-4</t>
  </si>
  <si>
    <t>NI = Jumlah lulusan yang bekerja di badan usaha tingkat multi nasional/internasional.</t>
  </si>
  <si>
    <t>NN = Jumlah lulusan yang bekerja di badan usaha tingkat nasional atau berwirausaha yang berizin.</t>
  </si>
  <si>
    <t>NW = Jumlah lulusan yang bekerja di badan usaha tingkat wilayah/lokal atau berwirausaha tidak berizin.</t>
  </si>
  <si>
    <t>Tahun Lulus TS-3</t>
  </si>
  <si>
    <t>Tahun Lulus TS-2</t>
  </si>
  <si>
    <r>
      <t>R</t>
    </r>
    <r>
      <rPr>
        <vertAlign val="subscript"/>
        <sz val="11"/>
        <color rgb="FF000000"/>
        <rFont val="Calibri"/>
      </rPr>
      <t>I</t>
    </r>
    <r>
      <rPr>
        <sz val="11"/>
        <color rgb="FF000000"/>
        <rFont val="Calibri"/>
      </rPr>
      <t xml:space="preserve"> = N</t>
    </r>
    <r>
      <rPr>
        <vertAlign val="subscript"/>
        <sz val="11"/>
        <color rgb="FF000000"/>
        <rFont val="Calibri"/>
      </rPr>
      <t>I</t>
    </r>
    <r>
      <rPr>
        <sz val="11"/>
        <color rgb="FF000000"/>
        <rFont val="Calibri"/>
      </rPr>
      <t xml:space="preserve"> / N</t>
    </r>
    <r>
      <rPr>
        <vertAlign val="subscript"/>
        <sz val="11"/>
        <color rgb="FF000000"/>
        <rFont val="Calibri"/>
      </rPr>
      <t>L</t>
    </r>
  </si>
  <si>
    <r>
      <t>R</t>
    </r>
    <r>
      <rPr>
        <vertAlign val="subscript"/>
        <sz val="11"/>
        <color rgb="FF000000"/>
        <rFont val="Calibri"/>
      </rPr>
      <t>N</t>
    </r>
    <r>
      <rPr>
        <sz val="11"/>
        <color rgb="FF000000"/>
        <rFont val="Calibri"/>
      </rPr>
      <t xml:space="preserve"> = N</t>
    </r>
    <r>
      <rPr>
        <vertAlign val="subscript"/>
        <sz val="11"/>
        <color rgb="FF000000"/>
        <rFont val="Calibri"/>
      </rPr>
      <t>N</t>
    </r>
    <r>
      <rPr>
        <sz val="11"/>
        <color rgb="FF000000"/>
        <rFont val="Calibri"/>
      </rPr>
      <t xml:space="preserve"> / N</t>
    </r>
    <r>
      <rPr>
        <vertAlign val="subscript"/>
        <sz val="11"/>
        <color rgb="FF000000"/>
        <rFont val="Calibri"/>
      </rPr>
      <t>L</t>
    </r>
  </si>
  <si>
    <r>
      <t>R</t>
    </r>
    <r>
      <rPr>
        <vertAlign val="subscript"/>
        <sz val="11"/>
        <color rgb="FF000000"/>
        <rFont val="Calibri"/>
      </rPr>
      <t>W</t>
    </r>
    <r>
      <rPr>
        <sz val="11"/>
        <color rgb="FF000000"/>
        <rFont val="Calibri"/>
      </rPr>
      <t xml:space="preserve"> = N</t>
    </r>
    <r>
      <rPr>
        <vertAlign val="subscript"/>
        <sz val="11"/>
        <color rgb="FF000000"/>
        <rFont val="Calibri"/>
      </rPr>
      <t>W</t>
    </r>
    <r>
      <rPr>
        <sz val="11"/>
        <color rgb="FF000000"/>
        <rFont val="Calibri"/>
      </rPr>
      <t xml:space="preserve"> / N</t>
    </r>
    <r>
      <rPr>
        <vertAlign val="subscript"/>
        <sz val="11"/>
        <color rgb="FF000000"/>
        <rFont val="Calibri"/>
      </rPr>
      <t>L</t>
    </r>
  </si>
  <si>
    <t>STUDI PENELUSURAN LULUSAN
TABEL REFERENSI 8.e.2)</t>
  </si>
  <si>
    <r>
      <t>N</t>
    </r>
    <r>
      <rPr>
        <vertAlign val="subscript"/>
        <sz val="11"/>
        <color rgb="FF000000"/>
        <rFont val="Calibri"/>
      </rPr>
      <t>J4</t>
    </r>
    <r>
      <rPr>
        <sz val="11"/>
        <color rgb="FF000000"/>
        <rFont val="Calibri"/>
      </rPr>
      <t xml:space="preserve"> = Jumlah lulusan pada TS-4 yang dinilai oleh pengguna</t>
    </r>
  </si>
  <si>
    <r>
      <t>N</t>
    </r>
    <r>
      <rPr>
        <vertAlign val="subscript"/>
        <sz val="11"/>
        <color rgb="FF000000"/>
        <rFont val="Calibri"/>
      </rPr>
      <t>J3</t>
    </r>
    <r>
      <rPr>
        <sz val="11"/>
        <color rgb="FF000000"/>
        <rFont val="Calibri"/>
      </rPr>
      <t xml:space="preserve"> = Jumlah lulusan pada TS-3 yang dinilai oleh pengguna</t>
    </r>
  </si>
  <si>
    <r>
      <t>N</t>
    </r>
    <r>
      <rPr>
        <vertAlign val="subscript"/>
        <sz val="11"/>
        <color rgb="FF000000"/>
        <rFont val="Calibri"/>
      </rPr>
      <t>J2</t>
    </r>
    <r>
      <rPr>
        <sz val="11"/>
        <color rgb="FF000000"/>
        <rFont val="Calibri"/>
      </rPr>
      <t xml:space="preserve"> = Jumlah lulusan pada TS-2 yang dinilai oleh pengguna</t>
    </r>
  </si>
  <si>
    <t>Persentase responden pengguna lulusan</t>
  </si>
  <si>
    <t>Tingkat kepuasan pengguna lulusan.
Tabel 8.e.2) LKPS</t>
  </si>
  <si>
    <t>Etika</t>
  </si>
  <si>
    <t>TK1</t>
  </si>
  <si>
    <t>Keahlian</t>
  </si>
  <si>
    <t>TK2</t>
  </si>
  <si>
    <t>Bahasa</t>
  </si>
  <si>
    <t>TK3</t>
  </si>
  <si>
    <t>Teknologi Informasi</t>
  </si>
  <si>
    <t>TK4</t>
  </si>
  <si>
    <t>Komunikasi</t>
  </si>
  <si>
    <t>TK5</t>
  </si>
  <si>
    <t>Kerjasama</t>
  </si>
  <si>
    <t>TK6</t>
  </si>
  <si>
    <t>Pengembangan Diri</t>
  </si>
  <si>
    <t>TK7</t>
  </si>
  <si>
    <t xml:space="preserve">C.9.4.b) Luaran Dharma Penelitian dan PkM </t>
  </si>
  <si>
    <t>Publikasi ilmiah mahasiswa, yang dihasilkan secara mandiri atau bersama DTPS, dengan judul yang relevan dengan bidang program studi dalam 3 tahun terakhir.
Tabel 8.f.1) LKPS</t>
  </si>
  <si>
    <r>
      <t>N</t>
    </r>
    <r>
      <rPr>
        <vertAlign val="subscript"/>
        <sz val="11"/>
        <color rgb="FF000000"/>
        <rFont val="Calibri"/>
      </rPr>
      <t>M</t>
    </r>
    <r>
      <rPr>
        <sz val="11"/>
        <color rgb="FF000000"/>
        <rFont val="Calibri"/>
      </rPr>
      <t xml:space="preserve"> = Jumlah mahasiswa pada saat TS. </t>
    </r>
  </si>
  <si>
    <t>Luaran penelitian dan PkM yang dihasilkan mahasiswa, baik secara mandiri atau bersama DTPS dalam 3 tahun terakhir.
Tabel 8.f.4) LKPS</t>
  </si>
  <si>
    <r>
      <t>N</t>
    </r>
    <r>
      <rPr>
        <vertAlign val="subscript"/>
        <sz val="11"/>
        <color rgb="FF000000"/>
        <rFont val="Calibri"/>
      </rPr>
      <t>LP</t>
    </r>
    <r>
      <rPr>
        <sz val="11"/>
        <color rgb="FF000000"/>
        <rFont val="Calibri"/>
      </rPr>
      <t xml:space="preserve"> = (2 x (N</t>
    </r>
    <r>
      <rPr>
        <vertAlign val="subscript"/>
        <sz val="11"/>
        <color rgb="FF000000"/>
        <rFont val="Calibri"/>
      </rPr>
      <t>A</t>
    </r>
    <r>
      <rPr>
        <sz val="11"/>
        <color rgb="FF000000"/>
        <rFont val="Calibri"/>
      </rPr>
      <t xml:space="preserve"> + N</t>
    </r>
    <r>
      <rPr>
        <vertAlign val="subscript"/>
        <sz val="11"/>
        <color rgb="FF000000"/>
        <rFont val="Calibri"/>
      </rPr>
      <t>B</t>
    </r>
    <r>
      <rPr>
        <sz val="11"/>
        <color rgb="FF000000"/>
        <rFont val="Calibri"/>
      </rPr>
      <t xml:space="preserve"> + N</t>
    </r>
    <r>
      <rPr>
        <vertAlign val="subscript"/>
        <sz val="11"/>
        <color rgb="FF000000"/>
        <rFont val="Calibri"/>
      </rPr>
      <t>C</t>
    </r>
    <r>
      <rPr>
        <sz val="11"/>
        <color rgb="FF000000"/>
        <rFont val="Calibri"/>
      </rPr>
      <t>) + N</t>
    </r>
    <r>
      <rPr>
        <vertAlign val="subscript"/>
        <sz val="11"/>
        <color rgb="FF000000"/>
        <rFont val="Calibri"/>
      </rPr>
      <t>D</t>
    </r>
    <r>
      <rPr>
        <sz val="11"/>
        <color rgb="FF000000"/>
        <rFont val="Calibri"/>
      </rPr>
      <t>)</t>
    </r>
  </si>
  <si>
    <t>D  Analisis dan Penetapan Program Pengembangan
D.1 
Analisis dan Capaian Kinerja</t>
  </si>
  <si>
    <t>Keserbacakupan (kelengkapan, keluasan, dan kedalaman), ketepatan, ketajaman, dan kesesuaian analisis capaian kinerja serta konsistensi dengan setiap kriteria.</t>
  </si>
  <si>
    <t>UPPS telah melakukan analisis capaian kinerja yang: 
1) analisisnya didukung oleh data/informasi yang relevan (merujuk pada pencapaian standar mutu perguruan tinggi) dan berkualitas (andal dan memadai) yang didukung oleh keberadaan pangkalan data institusi yang terintegrasi.
2) konsisten dengan seluruh kriteria yang diuraikan sebelumnya, 
3) analisisnya dilakukan secara komprehensif, tepat, dan tajam untuk mengidentifikasi akar masalah di  UPPS.
4) hasilnya dipublikasikan kepada para pemangku kepentingan internal dan eksternal serta mudah diakses.</t>
  </si>
  <si>
    <t>UPPS telah melakukan analisis capaian kinerja yang: 
1) analisisnya didukung oleh data/informasi yang relevan (merujuk pada pencapaian standar mutu perguruan tinggi) dan berkualitas (andal dan memadai) yang didukung oleh keberadaan pangkalan data institusi yang belum terintegrasi.
2) konsisten dengan sebagian besar (7 s.d. 8) kriteria yang diuraikan sebelumnya, 
3) analisisnya dilakukan secara komprehensif dan tepat untuk mengidentifikasi akar masalah di UPPS.
4) hasilnya dipublikasikan kepada para pemangku kepentingan internal serta mudah diakses.</t>
  </si>
  <si>
    <t>UPPS telah melakukan analisis capaian kinerja yang: 
1) analisisnya didukung oleh data/informasi yang relevan (merujuk pada pencapaian standar mutu perguruan tinggi) dan berkualitas (andal dan memadai).
2) konsisten dengan sebagian (5 s.d. 6) kriteria yang diuraikan sebelumnya, 
3) analisisnya dilakukan secara komprehensif untuk mengidentifikasi akar masalah di UPPS.
4) hasilnya dipublikasikan kepada para pemangku kepentingan internal.</t>
  </si>
  <si>
    <t>UPPS telah melakukan analisis capaian kinerja yang: 
1) analisisnya tidak sepenuhnya didukung oleh data/informasi yang relevan (merujuk pada pencapaian standar mutu perguruan tinggi) dan berkualitas (andal dan memadai).
2) konsisten dengan sebagian kecil (kurang dari 5) kriteria yang diuraikan sebelumnya, 
3) analisisnya dilakukan tidak secara komprehensif untuk mengidentifikasi akar masalah di UPPS.
4) hasilnya tidak dipublikasikan.</t>
  </si>
  <si>
    <t>UPPS tidak melakukan analisis capaian kinerja.</t>
  </si>
  <si>
    <t>D.2 
Analisis SWOT atau Analisis Lain yang Relevan</t>
  </si>
  <si>
    <t>Ketepatan analisis SWOT atau analisis yang relevan di dalam mengembangkan strategi.</t>
  </si>
  <si>
    <t>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3) merumuskan strategi pengembangan UPPS yang berkesesuaian, dan
4) menghasilkan program-program pengembangan alternatif yang tepat.</t>
  </si>
  <si>
    <t>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dan
3) merumuskan strategi pengembangan UPPS yang berkesesuaian.</t>
  </si>
  <si>
    <t>UPPS melakukan analisis SWOT atau analisis lain yang relevan, serta memenuhi aspek-aspek sebagai berikut:
1) melakukan identifikasi kekuatan atau faktor pendorong, kelemahan atau faktor penghambat, peluang dan ancaman yang dihadapi UPPS dilakukan secara tepat, dan 
2) memiliki keterkaitan dengan hasil analisis capaian kinerja.</t>
  </si>
  <si>
    <t>UPPS melakukan analisis SWOT atau analisis lain yang memenuhi aspek-aspek sebagai berikut:
1) melakukan identifikasi kekuatan atau faktor pendorong, kelemahan atau faktor penghambat, peluang dan ancaman yang dihadapi UPPS, dan
2) memiliki keterkaitan dengan hasil analisis capaian kinerja, namun tidak terstruktur dan tidak sistematis.</t>
  </si>
  <si>
    <t>UPPS tidak melakukan analisis untuk mengembangkan strategi.</t>
  </si>
  <si>
    <t>D.3
Program Pengembangan</t>
  </si>
  <si>
    <t>Ketepatan di dalam menetapkan prioritas program pengembangan.</t>
  </si>
  <si>
    <t>UPPS menetapkan prioritas program pengembangan berdasarkan hasil analisis SWOT atau analisis lainnya yang mempertimbangkan secara komprehensif:
1) kapasitas UPPS,
2) kebutuhan UPPS dan PS di masa depan,
3) rencana strategis UPPS yang berlaku,
4) aspirasi dari pemangku kepentingan internal dan eksternal, dan
5) program yang menjamin keberlanjutan.</t>
  </si>
  <si>
    <t>UPPS menetapkan prioritas program pengembangan berdasarkan hasil analisis SWOT atau analisis lainnya yang mempertimbangkan secara komprehensif:
1) kapasitas UPPS,
2) kebutuhan UPPS dan PS di masa depan,
3) rencana strategis UPPS yang berlaku, dan
4) aspirasi dari pemangku kepentingan internal.</t>
  </si>
  <si>
    <t>UPPS menetapkan prioritas program pengembangan berdasarkan hasil analisis SWOT atau analisis lainnya yang mempertimbangkan secara komprehensif:
1) kapasitas UPPS,
2) kebutuhan UPPS dan PS di masa depan, dan
3) rencana strategis UPPS yang berlaku.</t>
  </si>
  <si>
    <t>UPPS menetapkan prioritas program pengembangan namun belum mempertimbangan secara komprehensif:
1) kapasitas UPPS,
2) kebutuhan UPPS dan PS, dan
3) rencana strategis UPPS yang berlaku.</t>
  </si>
  <si>
    <t>UPPS tidak menetapkan prioritas program pengembangan.</t>
  </si>
  <si>
    <t xml:space="preserve">D.4 
Program Keberlanjutan </t>
  </si>
  <si>
    <t>UPPS memiliki kebijakan, ketersediaan sumberdaya, kemampuan melaksanakan, dan kerealistikan program.</t>
  </si>
  <si>
    <t>UPPS memiliki kebijakan dan upaya yang diturunkan ke dalam berbagai peraturan untuk menjamin keberlanjutan program yang mencakup:
1) alokasi sumber daya, 
2) kemampuan melaksanakan,
3) rencana penjaminan mutu yang berkelanjutan, dan 
4) keberadaan dukungan stakeholders eksternal.</t>
  </si>
  <si>
    <t>UPPS memiliki kebijakan dan upaya yang diturunkan ke dalam berbagai peraturan untuk menjamin keberlanjutan program yang mencakup:
1) alokasi sumber daya, 
2) kemampuan melaksanakan, dan
3) rencana penjaminan mutu yang berkelanjutan.</t>
  </si>
  <si>
    <t>UPPS memiliki kebijakan dan upaya untuk menjamin keberlanjutan program yang mencakup:
1) alokasi sumber daya, 
2) kemampuan melaksanakan, dan
3) rencana penjaminan mutu yang berkelanjutan.</t>
  </si>
  <si>
    <t>UPPS memiliki kebijakan dan upaya namun belum cukup untuk menjamin keberlanjutan program.</t>
  </si>
  <si>
    <t>UPPS tidak memiliki kebijakan dan upaya untuk menjamin keberlanjutan program.</t>
  </si>
  <si>
    <t>LAPORAN ASESMEN KECUKUPAN</t>
  </si>
  <si>
    <t>PENILAIAN ASESMEN KECUKUPAN</t>
  </si>
  <si>
    <t>Penilaian Individual</t>
  </si>
  <si>
    <t>Nilai Asesmen Kecukupan</t>
  </si>
  <si>
    <t>Nama Asesor:</t>
  </si>
  <si>
    <t>Syarat Perlu Terakreditasi</t>
  </si>
  <si>
    <t>Kode Panel:</t>
  </si>
  <si>
    <t>Syarat Perlu Peringkat Unggul</t>
  </si>
  <si>
    <t>Tanggal Penilaian:</t>
  </si>
  <si>
    <t>Syarat Perlu Peringkat Baik Sekali</t>
  </si>
  <si>
    <t>NO.</t>
  </si>
  <si>
    <t>KRITERIA/ELEMEN/INDIKATOR</t>
  </si>
  <si>
    <t>BOBOT</t>
  </si>
  <si>
    <t>SKOR x BOBOT</t>
  </si>
  <si>
    <t>SYARAT PERLU TERAKREDITASI</t>
  </si>
  <si>
    <t>SYARAT PERLU PERINGKAT 
UNGGUL</t>
  </si>
  <si>
    <t>SYARAT PERLU PERINGKAT 
BAIK SEKALI</t>
  </si>
  <si>
    <r>
      <t xml:space="preserve">A. Kondisi Eksternal
</t>
    </r>
    <r>
      <rPr>
        <sz val="9"/>
        <color rgb="FF000000"/>
        <rFont val="Calibri"/>
      </rPr>
      <t>Konsistensi dengan hasil analisis SWOT dan/atau analisis lain serta rencana pengembangan ke depan.</t>
    </r>
  </si>
  <si>
    <r>
      <t xml:space="preserve">B. Profil Unit Pengelola Program Studi
</t>
    </r>
    <r>
      <rPr>
        <sz val="9"/>
        <color rgb="FF000000"/>
        <rFont val="Calibri"/>
      </rPr>
      <t>Keserbacakupan informasi dalam profil dan konsistensi antara profil dengan data dan informasi yang disampaikan pada masing-masing kriteria, serta menunjukkan iklim yang kondusif untuk pengembangan dan reputasi sebagai rujukan di bidang keilmuannya.</t>
    </r>
  </si>
  <si>
    <r>
      <rPr>
        <b/>
        <sz val="9"/>
        <color rgb="FF000000"/>
        <rFont val="Calibri"/>
      </rPr>
      <t>C. Kriteria
C.1. Visi, Misi, Tujuan dan Strategi</t>
    </r>
    <r>
      <rPr>
        <sz val="9"/>
        <color rgb="FF000000"/>
        <rFont val="Calibri"/>
      </rPr>
      <t xml:space="preserve">
C.1.4. Indikator Kinerja Utama
Kesesuaian Visi, Misi, Tujuan dan Strategi (VMTS) Unit Pengelola Program Studi (UPPS) terhadap VMTS Perguruan Tinggi (PT) dan visi keilmuan Program Studi (PS) yang dikelolanya.</t>
    </r>
  </si>
  <si>
    <r>
      <rPr>
        <b/>
        <sz val="9"/>
        <color rgb="FF000000"/>
        <rFont val="Calibri"/>
      </rPr>
      <t>C.2. Tata Pamong, Tata Kelola dan Kerjasama</t>
    </r>
    <r>
      <rPr>
        <sz val="9"/>
        <color rgb="FF000000"/>
        <rFont val="Calibri"/>
      </rPr>
      <t xml:space="preserve">
C.2.4. Indikator Kinerja Utama
C.2.4.a) Sistem Tata Pamong
A. Kelengkapan struktur organisasi dan keefektifan penyelenggaraan organisasi.
B. Perwujudan good governance dan pemenuhan lima pilar sistem tata pamong, yang mencakup: 1) Kredibel, 2) Transparan, 3) Akuntabel, 4) Bertanggung jawab, 5) Adil.</t>
    </r>
  </si>
  <si>
    <t xml:space="preserve">C.2.4.b) Kepemimpinan dan Kemampuan Manajerial
A. Komitmen pimpinan UPPS.
B. Kapabilitas pimpinan UPPS, mencakup aspek: 1) perencanaan, 2) pengorganisasian, 3) penempatan personel, 4) pelaksanaan, 5) pengendalian dan pengawasan, dan 6) pelaporan yang menjadi dasar tindak lanjut. </t>
  </si>
  <si>
    <t>C.2.4.c) Kerjasama
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</si>
  <si>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 xml:space="preserve">A. Kerjasama pendidikan, penelitian, dan PkM yang relevan dengan program studi dan dikelola oleh UPPS dalam 3 tahun terakhir.
B. Kerjasama tingkat internasional, nasional, wilayah/lokal yang relevan dengan program studi dan dikelola oleh UPPS dalam 3 tahun terakhir.
Tabel 1 LKPS </t>
  </si>
  <si>
    <t>C.2.5 Indikator Kinerja Tambahan
Pelampauan SN-DIKTI (indikator kinerja tambahan) yang ditetapkan oleh UPPS pada tiap kriteria.</t>
  </si>
  <si>
    <t>C.2.6 Evaluasi Capaian Kinerja
Analisis keberhasilan dan/atau ketidakberhasilan pencapaian kinerja UPPS yang telah ditetapkan di tiap kriteria memenuhi 2 aspek sebagai berikut: 1) capaian kinerja diukur dengan metoda yang tepat, dan hasilnya dianalisis serta dievaluasi, dan 2) analisis terhadap capaian kinerja mencakup identifikasi akar masalah, faktor pendukung keberhasilan dan faktor penghambat ketercapaian standard, dan deskripsi singkat tindak lanjut yang akan dilakukan.</t>
  </si>
  <si>
    <t>C.2.7. Penjaminan Mutu
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dan 5) memiliki external benchmarking dalam peningkatan mutu.</t>
  </si>
  <si>
    <t>Skor min. = 2,0</t>
  </si>
  <si>
    <t>C.2.8. Kepuasan Pemangku Kepentingan
Pengukuran kepuasan layanan manajemen terhadap para pemangku kepentingan: mahasiswa, dosen, tenaga kependidikan, lulusan, pengguna dan mitra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</si>
  <si>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r>
      <rPr>
        <b/>
        <sz val="9"/>
        <color rgb="FF000000"/>
        <rFont val="Calibri"/>
      </rPr>
      <t>C.3. Mahasiswa</t>
    </r>
    <r>
      <rPr>
        <sz val="9"/>
        <color rgb="FF000000"/>
        <rFont val="Calibri"/>
      </rPr>
      <t xml:space="preserve">
C.3.4. Indikator Kinerja Utama
C.3.4.a) Kualitas Input Mahasiswa
A. Metoda rekrutmen dan keketatan seleksi.
Tabel 2.a LKPS
</t>
    </r>
  </si>
  <si>
    <t>C.3.4.b) Daya Tarik Program Studi
A. Peningkatan animo calon mahasiswa.
Tabel 2.a LKPS
B. Mahasiswa asing
Tabel 2.b LKPS</t>
  </si>
  <si>
    <t>C.3.4.c) Layanan Kemahasiswaan
A. Ketersediaan layanan kemahasiswaan di bidang: 1) penalaran, minat dan bakat, 2) kesejahteraan (bimbingan dan konseling, layanan beasiswa, dan layanan kesehatan), dan 3) bimbingan karir dan kewirausahaan.
B. Akses dan mutu layanan kemahasiswaan.</t>
  </si>
  <si>
    <r>
      <rPr>
        <b/>
        <sz val="9"/>
        <color rgb="FF000000"/>
        <rFont val="Calibri"/>
      </rPr>
      <t>C.4. Sumber Daya Manusia</t>
    </r>
    <r>
      <rPr>
        <sz val="9"/>
        <color rgb="FF000000"/>
        <rFont val="Calibri"/>
      </rPr>
      <t xml:space="preserve">
C.4.4. Indikator Kinerja Utama
C.4.4.a) Profil Dosen
Kecukupan jumlah DTPS.
Tabel 3.a.1) LKPS</t>
    </r>
  </si>
  <si>
    <t>Skor min. = 3,5</t>
  </si>
  <si>
    <t>Skor min. = 3,0</t>
  </si>
  <si>
    <t>Rasio jumlah mahasiswa program studi terhadap jumlah DTPS.
Tabel 2.a LKPS
Tabel 3.a.1) LKPS</t>
  </si>
  <si>
    <t>C.4.4.b) Kinerja Dosen
Pengakuan/rekognisi atas kepakaran/prestasi/kinerja DTPS.
Tabel 3.b.1) LKPS</t>
  </si>
  <si>
    <t>C.4.4.c) Pengembangan Dosen
Upaya pengembangan dosen.</t>
  </si>
  <si>
    <t xml:space="preserve">C.4.4.d) Tenaga Kependidikan
A. Kualifikasi dan kecukupan tenaga kependidikan berdasarkan jenis pekerjaannya (administrasi, pustakawan, teknisi, dll.)
B. Kualifikasi dan kecukupan laboran untuk mendukung proses pembelajaran sesuai dengan kebutuhan program studi. </t>
  </si>
  <si>
    <r>
      <rPr>
        <b/>
        <sz val="9"/>
        <color rgb="FF000000"/>
        <rFont val="Calibri"/>
      </rPr>
      <t>C.5. Keuangan, Sarana dan Prasarana</t>
    </r>
    <r>
      <rPr>
        <sz val="9"/>
        <color rgb="FF000000"/>
        <rFont val="Calibri"/>
      </rPr>
      <t xml:space="preserve">
C.5.4. Indikator Kinerja Utama
C.5.4.a) Keuangan
Biaya operasional pendidikan.
Tabel 4 LKPS</t>
    </r>
  </si>
  <si>
    <t>Realisasi investasi (SDM, sarana dan prasarana) yang mendukung penyelenggaraan tridharma.</t>
  </si>
  <si>
    <t>C.5.4.b) Sarana dan Prasarana
Kecukupan, aksesibilitas dan mutu sarana dan prasarana untuk menjamin pencapaian capaian pembelajaran dan meningkatkan suasana akademik.</t>
  </si>
  <si>
    <r>
      <rPr>
        <b/>
        <sz val="9"/>
        <color rgb="FF000000"/>
        <rFont val="Calibri"/>
      </rPr>
      <t>C.6. Pendidikan</t>
    </r>
    <r>
      <rPr>
        <sz val="9"/>
        <color rgb="FF000000"/>
        <rFont val="Calibri"/>
      </rPr>
      <t xml:space="preserve">
C.6.4. Indikator Kinerja Utama
C.6.4.a) Kurikulum
A. Keterlibatan pemangku kepentingan dalam proses evaluasi dan pemutakhiran kurikulum.
B. Kesesuaian capaian pembelajaran dengan profil lulusan dan jenjang KKNI/SKKNI.
C. Ketepatan struktur kurikulum dalam pembentukan capaian pembelajaran.</t>
    </r>
  </si>
  <si>
    <t>C.6.4.b) Karakteristik Proses Pembelajaran
Pemenuhan karakteristik proses pembelajaran, yang terdiri atas sifat: 1) interaktif, 2) holistik, 3) integratif, 4) saintifik, 5) kontekstual, 6) tematik, 7) efektif, 8) kolaboratif, dan 9) berpusat pada mahasiswa.</t>
  </si>
  <si>
    <t>C.6.4.c) Rencana Proses Pembelajaran
A. Ketersediaan dan kelengkapan dokumen rencana pembelajaran semester (RPS).
B. Kedalaman dan keluasan RPS sesuai dengan capaian pembelajaran lulusan.</t>
  </si>
  <si>
    <t>C.6.4.d) Pelaksanaan Proses Pembelajaran
A. Bentuk interaksi antara dosen, mahasiswa dan sumber belajar.
B. Pemantauan kesesuaian proses terhadap rencana pembelajaran.
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
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
E. Kesesuaian metode pembelajaran dengan capaian pembelajaran. Contoh: RBE (research based education), IBE (industry based education), teaching factory/teaching industry, dll.</t>
  </si>
  <si>
    <t>C.6.4.e) Monitoring dan Evaluasi Proses Pembelajaran
Monitoring dan evaluasi pelaksanaan proses pembelajaran mencakup karakteristik, perencanaan, pelaksanaan, proses pembelajaran dan beban belajar mahasiswa untuk memperoleh capaian pembelajaran lulusan.</t>
  </si>
  <si>
    <t>C.6.4.f) Penilaian Pembelajaran
A. Mutu pelaksanaan penilaian pembelajaran (proses dan hasil belajar mahasiswa) untuk mengukur ketercapaian capaian pembelajaran berdasarkan prinsip penilaian yang mencakup:1) edukatif, 2) otentik, 3) objektif, 4) akuntabel, dan 5) transparan, yang dilakukan secara terintegrasi.
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
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</si>
  <si>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C.6.4.g) Integrasi kegiatan penelitian dan PkM dalam pembelajaran
Integrasi kegiatan penelitian dan PkM dalam pembelajaran oleh DTPS dalam 3 tahun terakhir.
Tabel 5.b LKPS</t>
  </si>
  <si>
    <t>C.6.4.h) Suasana Akademik
Keterlaksanaan dan keberkalaan program dan kegiatan diluar kegiatan pembelajaran terstruktur untuk meningkatkan suasana akademik.
Contoh: kegiatan himpunan mahasiswa, kuliah umum/studium generale, seminar ilmiah, bedah buku.</t>
  </si>
  <si>
    <t>C.6.4.i) Kepuasan Mahasiswa
A. Tingkat kepuasan mahasiswa terhadap proses pendidikan.
Tabel 5.c LKPS
B. Analisis dan tindak lanjut dari hasil pengukuran kepuasan mahasiswa.</t>
  </si>
  <si>
    <r>
      <rPr>
        <b/>
        <sz val="9"/>
        <color rgb="FF000000"/>
        <rFont val="Calibri"/>
      </rPr>
      <t>C.7. Penelitian</t>
    </r>
    <r>
      <rPr>
        <sz val="9"/>
        <color rgb="FF000000"/>
        <rFont val="Calibri"/>
      </rPr>
      <t xml:space="preserve">
C.7.4. Indikator Kinerja Utama
C.7.4.a) Relevansi Penelitian
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r>
  </si>
  <si>
    <t>C.7.4.b) Penelitian Dosen dan Mahasiswa
Penelitian DTPS yang dalam pelaksanaannya melibatkan mahasiswa program studi dalam 3 tahun terakhir.
Tabel 6.a LKPS</t>
  </si>
  <si>
    <r>
      <rPr>
        <b/>
        <sz val="9"/>
        <color rgb="FF000000"/>
        <rFont val="Calibri"/>
      </rPr>
      <t>C.8. Pengabdian kepada Masyarakat</t>
    </r>
    <r>
      <rPr>
        <sz val="9"/>
        <color rgb="FF000000"/>
        <rFont val="Calibri"/>
      </rPr>
      <t xml:space="preserve">
C.8.4. Indikator Kinerja Utama
C.8.4.a) Relevansi PkM
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r>
  </si>
  <si>
    <t>C.8.4.b) PkM Dosen dan Mahasiswa
PkM DTPS yang dalam pelaksanaannya melibatkan mahasiswa program studi dalam 3 tahun terakhir.
Tabel 7 LKPS</t>
  </si>
  <si>
    <r>
      <rPr>
        <b/>
        <sz val="9"/>
        <color rgb="FF000000"/>
        <rFont val="Calibri"/>
      </rPr>
      <t>C.9. Luaran dan Capaian Tridharma</t>
    </r>
    <r>
      <rPr>
        <sz val="9"/>
        <color rgb="FF000000"/>
        <rFont val="Calibri"/>
      </rPr>
      <t xml:space="preserve">
C.9.4. Indikator Kinerja Utama
C.9.4.a) Luaran Dharma  Pendidikan
Analisis pemenuhan capaian pembelajaran lulusan (CPL) yang diukur dengan metoda yang sahih dan relevan, mencakup aspek: 1) keserbacakupan, 
2) kedalaman, dan 3) kebermanfaatan analisis yang ditunjukkan dengan peningkatan CPL dari waktu ke waktu dalam 3 tahun terakhir.</t>
    </r>
  </si>
  <si>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dan 5) hasilnya disosialisasikan dan digunakan untuk pengembangan kurikulum dan pembelajaran. </t>
  </si>
  <si>
    <t>Waktu tunggu.
Tabel 8.d.1) LKPS</t>
  </si>
  <si>
    <t>C.9.4.b) Luaran Dharma Penelitian dan PkM 
Publikasi ilmiah mahasiswa, yang dihasilkan secara mandiri atau bersama DTPS, dengan judul yang relevan dengan bidang program studi dalam 3 tahun terakhir.
Tabel 8.f.1) LKPS</t>
  </si>
  <si>
    <r>
      <t xml:space="preserve">D  Analisis dan Penetapan Program Pengembangan
D.1 
Analisis dan Capaian Kinerja
</t>
    </r>
    <r>
      <rPr>
        <sz val="9"/>
        <color rgb="FF000000"/>
        <rFont val="Calibri"/>
      </rPr>
      <t>Keserbacakupan (kelengkapan, keluasan, dan kedalaman), ketepatan, ketajaman, dan kesesuaian analisis capaian kinerja serta konsistensi dengan setiap kriteria.</t>
    </r>
  </si>
  <si>
    <r>
      <t xml:space="preserve">D.2 
Analisis SWOT atau Analisis Lain yang Relevan
</t>
    </r>
    <r>
      <rPr>
        <sz val="9"/>
        <color rgb="FF000000"/>
        <rFont val="Calibri"/>
      </rPr>
      <t>Ketepatan analisis SWOT atau analisis yang relevan di dalam mengembangkan strategi.</t>
    </r>
  </si>
  <si>
    <r>
      <t xml:space="preserve">D.3
Program Pengembangan
</t>
    </r>
    <r>
      <rPr>
        <sz val="9"/>
        <color rgb="FF000000"/>
        <rFont val="Calibri"/>
      </rPr>
      <t>Ketepatan di dalam menetapkan prioritas program pengembangan.</t>
    </r>
  </si>
  <si>
    <r>
      <t xml:space="preserve">D.4 
Program Keberlanjutan
</t>
    </r>
    <r>
      <rPr>
        <sz val="9"/>
        <color rgb="FF000000"/>
        <rFont val="Calibri"/>
      </rPr>
      <t>UPPS memiliki kebijakan, ketersediaan sumberdaya, kemampuan melaksanakan, dan kerealistikan program.</t>
    </r>
  </si>
  <si>
    <t>ttd</t>
  </si>
  <si>
    <t>STAI Ma'arif Sarolangon</t>
  </si>
  <si>
    <t>29 Agustus 2022</t>
  </si>
  <si>
    <t>Informasi yang terkait dengan profil UPPS dikemukakan secara jelas dan memadai baik  dari kreteria  sejarah UPPS, VMTS, organisasi dan tata kerja,  mahasiswa dan lulusan, SDM, dan keuangan-sarpras. Diperkuat dengan data-data yang konsisten. Akan tetapi informasi yang terkait dengan pegembangan dan reputasi sebagai rujukan di bidang keilmuannya kurang tercermin.</t>
  </si>
  <si>
    <t>Visi UPPS mencerminkan visi  PT (STAI Ma'arif Sorolangun) yaitu menjadi PT Keislaman dengan keunggulan budaya kearifan lokal bereputasi nasional 2030. Demikian pula, misi, tujuan dan strategi juga searah dengan misi, tujuan, dan strategi PT, karena STAI itu sendiri dalam konteks ini sebagai UPPS.</t>
  </si>
  <si>
    <t>Mekanisme penyusunan VMTS UPPS dimulai dengan pembentukan tim penyusun melalui SK Ketua STAI No.17/STAI-MA/sk/001.A/III/2020 yang terdiri dari unsur pimpinan Ketua, wakil ketua, PS, pengurus struktural, perwakilan mahasiswa (BEM), tenaga ahli dari PT lain (tidak disebutkan TA-nya). Selanjutnya tim melakukan kordinasi penyusunan, dan selanjutnya penatapan VMTS dalam sidang pleno. Tidak dikemukakan stakeholders lainnya, misalnya alumni, pengguna, dan pihak lain yang terkait.</t>
  </si>
  <si>
    <t>A. UPPS memliki struktur organisasi yang mengacu pada Keputusan Ketua STAI No. 03/STAI-MA/SK/001.A/I/2014 tentang Statuta STAI Ma'arif. Struktur organisasi ini katagori lengkap dan antar unit dalam struktur memiliki hubungan hirarkis, direktif, dan kordinatif. Mulai dari Dewan penyantun, Ketua, Senat, Wakil ketua, kaprodi, dan tata usaha. Masing-masing pimpinan dilengkapi dengan tupoksi yang jelas dan rinci.Diantara tupoksi Ketua STAI misalnya "memimpin dalam menjalankan otonomi PT untuk dan atas nama Yayasan dalam penyelenggaraan pendidikan, penelitian, dan pengabdian kepada masyarakat, dst.  B. Tidak ada informasi secara jelas perihal yang terkait dengan  good governance yang kredibel, transparansi, akuntabel, dan adil. Dengan demikian tupoksi struktur organisasi yang lengkap tersebut kurang didukung oleh implementasi good governance yang  baik.</t>
  </si>
  <si>
    <t>Kerjasama bidang pendidikan ada 9, kerjasama bidang penelitian ada 5, dan kerjasama bidang PkM juga ada lima. Tidak ditemukan kerjasama internasional.</t>
  </si>
  <si>
    <t xml:space="preserve">Indikator kinerja tambahan dari setiap kreteria tidak terinformasikan. </t>
  </si>
  <si>
    <t>Jumlah calon mahasiswa yang ikut seleksi 495 dan yang lulus seleksi 129.</t>
  </si>
  <si>
    <t>Animo calon mahasiswa dalam tiga tahun (khususnya mahasiswa PBA) fluktuatif (naik-turun). Dalam konteks ini, UPPS membangun sinergisitas antara UPPS dengan PS, memperbaharui strategi bersama stakeholders, dan lainnya. Akan tetapi, upaya yang dinofrmasikan sangat normatif. Upaya yang dilakukan tidak meningkatkan animo calon mahasiswa baru.</t>
  </si>
  <si>
    <t>A. Layanan kemahasiswaan meliputi (a) penalaran, minat, dan bakat (diskusi ilmiah, futsal, tilawah, dan kebahasaan), (b) bimbingan karir dan kewirausahaan (memberi informasi dunia usaha dan UMKM yang bisa diikuti oleh mahasiswa), (c) kesejahteraan (bimbingan akademik, layanan beasiswa KIP, dan pelayanan kesehatan melalui puskesmas kesehatan. Informasi yang terkait dengan layanan kemahasiswaan cendrung normatif. B.  akses layanan lebih pada (a) dan (c) dan jenisnya tunggal.</t>
  </si>
  <si>
    <t>CATATAN: dari 12 dosen tersebut, hanya lima orang dosen yang berlatar  belakang pendidikan sesuai dengan PS.</t>
  </si>
  <si>
    <t>Pendidikan terakhir dosen S2</t>
  </si>
  <si>
    <t>Dari 12 orang dosen, hanya 5 orang yang memiliki jabatan akademik lektor.</t>
  </si>
  <si>
    <t>Rerata jumlah mahasiswa yang dibimbing 1: 3,33.</t>
  </si>
  <si>
    <t>Beban mengajar dosen 12 sks.</t>
  </si>
  <si>
    <t>PS tidak memiliki dosen tidak tetap: CATATAN: jumlah dosen 12 atau 14 (perlu diklarifikasi).</t>
  </si>
  <si>
    <t xml:space="preserve"> Pengakuan/rekognisi lebih pada sebagai keynote speaker di tingkat lokal, bukan nasional dan atau internasional (ada lima dosen). CATATAN: pada skor dalam tabel penilaian perlu diperbaiki saat AL, karena yang ada hanya pada level wilayah.</t>
  </si>
  <si>
    <t>Ada 12 kegiatan PkM dosen selama tiga tahun terakhir dan atas biaya mandiri atau PT sendiri.</t>
  </si>
  <si>
    <t>Ada 36 jumlah publikasi di jurnal tidak terakreditasi, 2 judul publikasi nasional, dan 5 judul publikasi lokal. (Cek dokumen saat AL)</t>
  </si>
  <si>
    <t>Tidak ada artikel yang disitasi</t>
  </si>
  <si>
    <t>Tidak ada luaran penelitian dan PkM yang memperoleh HaKI</t>
  </si>
  <si>
    <t>Pada tabel 4 LKPS, biaya operasional pendidikan dalam tiga tahun terakhir 3.997.777.778. Jumlah mahasiswa aktif pada TS sebanyak 11 orang (perlu diklarifikasi saat AL)</t>
  </si>
  <si>
    <t>Pada tabel 4 LKPS, rerata jumlah dana penelitian yang diperoleh dalam tiga tahun terakhir  Rp. 130.000.000. Jumlah dosen 12 orang.</t>
  </si>
  <si>
    <t>Pada tabel 4 LKPS, rerata jumlah dana PkM yang diperoleh dalam tiga tahun terakhir  Rp. 65.000.000. Jumlah dosen 12 orang.</t>
  </si>
  <si>
    <t>A. Tidak ada informasi atau link yang dapat diakses untuk menelaah dokumen rencana pembelajaran semester (RPS). B. Tidak ada informasi atau link yang dapat diakses untuk menelaah dokumen rencana pembelajaran semester (RPS) sehingga tidak dapat diketahui kedalaman dan keluasan RPS.</t>
  </si>
  <si>
    <t>Ada 45% jam pembelajaran dalam bentuk praktikum.</t>
  </si>
  <si>
    <t>A. Informasi yang terkait dengan mutu pelaksanaan penilaian pembelajaran terbatas pada ujian tengah, akhir semester, dan tugas mandiri. B. Tidak ada informasi tentang pelaksanaan penilaian yang terdiri atas teknik dan instrumen penilaian. C. Tidak ada informasi yang terkait dengan pelaksanaan penilaian yang memuat, misalnya mempunyai kontrak perkuliahan, penilaian sesuai kontrak perkuliahan. dst.</t>
  </si>
  <si>
    <t>Kegiatan ilmiah yang dikemukakan misalnya seminar, bedah buku, lokakarya metodologi penelitian, menghadirkan dosen tamu. Akan tetapi tidak trinformasikan waktu kegiatan dan penyelenggaranya, serta tidak dijelaskan keberkalaannya.</t>
  </si>
  <si>
    <t>A. Rerata tingkat kepuasan mahasiswa terhadap proses pendidikan sangat baik. B. Informasai  yanag terkait dengan analisis dam tindak lanjut dari hasil pengukuran kepuasan mahasiswa normatif baik dari proses analisisnya (misalnya analisis dilakukan dengan metode statistik) dan tindak lanjutnya (misalnya hanya dikemukakan, bahwa  hasil analisis dijadikan dasar UPPS melakukan perbaikan terhadap kurikulum).</t>
  </si>
  <si>
    <t>Tidak tergambar  (a) peta jalan penelitian (yang dikemukakan bahwa PT menetapkan penelitian dosen muda mengikuti roadmap, tidak ada roadmapnya), (b) agenda penelitian dosen , (c) evaluasi kesesuaian penelitian dengan peta jalan (yang terinformasikan penelitian akan ditolak jika tidak sesuai dengan peta jalan, sementara peta jalan tidak ada. (d) luaran penelitian untuk perbaikan kualitas penelitian pada PS PBA, bukan UPPS).</t>
  </si>
  <si>
    <t xml:space="preserve">Ada 6 judul penelitian DTPS PBA yang penelitiaanya melibatkan mahasiswa. </t>
  </si>
  <si>
    <t>Ada 9 jumlah judul PkM DTPS yang melibatkan mahasiswa.</t>
  </si>
  <si>
    <t>Analisis pemenuhan CPL   meliputi prestasi akademik dan non akademik (misalnya IPK, masa studi atau kelulusan tepat waktu) dan non-akademik (prestasi di bidang kejuaraan). Prestasi akademik dan non-akademik tidak hanya dikemukakan fakta materialnya, tetapi juga dianalisis kelemahan dan penyebabnya. Misalnya prestasi non-akademik dalam kanca nasional masih rendah dan belum mencapai tingkat internasional. Perihal yang terkait dengan luaran dharma Penelitian lebih bersifat deskripsi  kuantitatif saja tanpa dianalisis lebih mendalam.</t>
  </si>
  <si>
    <t>Rerata IPK 3,52 dan katagori ideal</t>
  </si>
  <si>
    <t>Ada lima prestasi akademik tingkat wilayah atau lokal dari jumlah mahasiswa pada TS 11 (Perlu diklarifikasi jumlah mahasiswa pada saat TS yakni 11 mahasiswa).</t>
  </si>
  <si>
    <t>Ada empat prestasi mahasiswa di bidang non akademik pada tingkat wilayah/loka dari 11 mahasiswa pada saat TS (Perlu diklarifikasi jumlah mahasiswa pada saat TS yakni 11 mahasiswa).</t>
  </si>
  <si>
    <t>Rerata masa studi 4 tahun</t>
  </si>
  <si>
    <t>56, 0% mahasiswa lulus tepat waktu.</t>
  </si>
  <si>
    <t>Data menunjukkan bahwa PPS 100%.</t>
  </si>
  <si>
    <t>Tidak ada informasi tentang pelaksanaan tracer study</t>
  </si>
  <si>
    <r>
      <t xml:space="preserve">Ada 8 karya ilmiah mahasiswa yang dipublikasikan di jurnal nasional tidak terakreditasi, 5 karya ilmiah dipublikasikan di seminar wilayah/lokal/PT. </t>
    </r>
    <r>
      <rPr>
        <b/>
        <sz val="11"/>
        <rFont val="Calibri"/>
        <family val="2"/>
      </rPr>
      <t>CATATAN</t>
    </r>
    <r>
      <rPr>
        <sz val="11"/>
        <color rgb="FF000000"/>
        <rFont val="Calibri"/>
      </rPr>
      <t>: tidak ada link untuk mengakses publikasi ilmiahnya. Oleh karena itu, perlu klarifikasi saat AL.</t>
    </r>
  </si>
  <si>
    <t>Tidak ada infromasi tentang luaran penelitian dan PkM mahasiswa.</t>
  </si>
  <si>
    <t>Ada analisis capaian kinerja. Akan tetapi, tidak disertai dengan data sebagai dasar untuk menganalisis tingkat ketercapaiannya maupun kekurang ketercapainnya. Yang dikemukan langsung pada kekurangan yang ada.</t>
  </si>
  <si>
    <t>UPPS telah melakukan analisis SWOT setiap kreteria baik dari aspek kekuatan, kelemahan, peluang dan ancaman secara jelas dan spesifik dengan berpijak pada hasil analisis capaian kinerja. UPPS juga merumuskan strategi pengembangan. Akan tetapi,  rumusan pengembangan pada kreteria tertentu masih normatif (abstrak). Misalnya strategi pengembangan kreteria 3,  membuat program pengembangan minat dan bakat dan menyusun strategi baru untuk meningkatkan animo calon mahasiswa dengan kolaboratif antara PS PBA dengan lembaga lain. Rumusan strategi pengembangan ini masih normatif, tidak jelas model pengambangan apa dan bagaimana dan bagaimana  juga sistem peningkatan animo calon mahasiswa yang akan dikembangkan.</t>
  </si>
  <si>
    <t>Tidak terinformasikan keberlanjutan program yang dikembangkan yang mencakup alokasa sumber daya, kemampuan melakasanakan, rencana penjaminan mutu, dan keberadaan pemangku kepentingan eksternal.</t>
  </si>
  <si>
    <t>UPPS telah mengidentifikasi kondisi lingkuangan eksternal makro dan mikro. Kondisi eksternal makro misalnya terkait dengan kondisi politik nasional,  ekonomi, kebijakan nasional, sosial, budaya, dan perkembangan IPTEKS. Akan tetapi, posisi relatif Program Studi (PS) dalam merespon lingkungan eksternal tersebut kurang tergambar secara jelas dan fungsional. Misalnya penarasian kondisi kekuatan politik Nasional bisa cenderung ke arah kiri atau kanan kurang direspon dengan posisi PS yang ada (pada UPPS) dalam menghadapi kedua kubu sistem poltik tersebut. Sementara itu, kondisi eksternal mikro lebih terkait dengan kondisi pesaing PS PBA dengan PBA yang ada di kampus lainya di daerah Sarolangun, kondisi pengguna  lulusan, calon mahasiswa, calon dosen, tenaga kependidikan, e-learning, kebutuhan dunia usaha, mitra,  dan aliansi.  Hasil idenifikasi dan posisi yang ditetapkan tidak digunakan untuk melakukan SWOT dan merumuskan strategi pengembangan  PS.</t>
  </si>
  <si>
    <t>UPPS mengembangkan strategi pencapaian tujuan melalui empat bidang, yaitu bidang pendidikan dan pengajaran, penelitian, pengabdian kepada masyarakat, dan kerjasama.  Bidang pendidikan dalam bentuk pengembangan kurikulum dan seleksi mahasiswa. Bidang penelitian melalui peningkatan kemampuan dosen dan mahasiswa dalam penelitian. Bidang PkM melalui peingkatan kualitas dan kuantitas PkM dosen dan mahasiswa. Bidang Kerjasama melalui peningkatan jumlah kerjasama pada tingkat lokal, nasional, dan internasional. Strategi pencapaian tujuan tersebut normatif, kurang spesifik, tidak jelas key performance indicatornya dan tahapan waktu pencapaiannya. Selain itu, tidak jelas pula metode yang digunakan.</t>
  </si>
  <si>
    <t xml:space="preserve">A. UPPS memiliki kepemimpinan operasional, organisasi, dan publik. Kepemimpinan operasional tercermin dalam penempatan person sesuai dengan kebutuhan. Penempatan pengampu dosen matakuliah sesuai dengan bidang keahlian, dan penempatan jabatan sesuai dengan kemampuan. Kepemimpinan organisasi tercermin pada  pelibatan unsur pembantu ketua dalam menjalankan fungsi organisasi. Kepemipinan publik tercermin pada keterlibatan ketua dalam kegiatan di dalam kampus dan di luar kampus (kegiatan kemasyarakatan). Infromasi yang terkait dengan perihal (A) relatif normatif sekalipun diperkuat oleh dokumen sistem tata pamong.  B. Kapablitas pimpinan UPPS terdeskripsikan dalam lima hal (a) perencanaan program kerja yang dibuat oleh masing-masing devisi dengan mengacu pada VMTS, (b)  pengorganisasian yang ternarasikan bahwa masing-masing bertanggungjawab terhadap wewenang tugas sesuai  tupoksinya masing-masing, (c) stafing tercermin pada penempatan staf/karyawan berdasarkan usulan dari  pimpinan dan kompetensi yang bersangkutan, (d) leading tercermin pada dilakukannya pengarahan dengan asas demokrasi, dan (e) controlling yang dilakukan olehLPM terhadap tata kelola PS. </t>
  </si>
  <si>
    <t>Sistem penjaminan mutu di UPPS dikoordinir oleh LPM STAI Ma'arif  Sarolangun. Dokumen yang dimiliki manual mutu tata pamong, SOP, Buku pedoman akademik, dan buku pedoman lainnya (penelitian, PkM, Keuanganm dll), serta  formulir mutu. Kebijakan mutu dan standar mutu tidak terinformasikan. Dokumen legal pembentukan pelaksana penjaminan mutu misalnya SK Ketua No. 045/STAI-MA/SK/001.A/III/2011. UPPS melakukan siklus penjaminan mutu mulai penetapan standar (sistem tata pamong, dan lainnya), pelaksanaan standar melalui audit internal oleh LPM, evaluasi standar melalui rapat, pengendalian standar dengan melakukan peningkatan secara kontinyus. Peningkatan standar dengan menjadikan temuan untuk dijadikan bahan untuk tindak lanjut (informasi yng terkait dengan siklus PPEPP masih normtif dan kurang sistematis). Dikemukakan, bahwa  LPM membuat laporan hasil evaluasi secara periodik, hasil PPEPP terdokumentasikan dalam spridseet exel google form. External Banchmarking yang dijadikan acuan adalah  Fakultas Tarbiyah (PBA) UIN Sultan Taha Saifuddin Jambi) yang sudah terakrditasi A.</t>
  </si>
  <si>
    <t>Diinformasikan bahwa pengukuran kepuasan layanan manajemen menggunakan instrumen google form. Akan tetapi laporan konkret tentang tingkat kepuasan pemangku kepentingan tidak ada dan tidak ada link untuk akses. Pengukuran kepuasan dilakukan 6 bulan sekali (berkala). Tidak dijelaskan metode analisisnya secara spesifik (hanya dijelaskan metode statistik). Diinformasikan bahwa hasil pengukuran dipublikasikan di web site kampus, tetapi laman webnya tidak diinformasikan sehingga tidak bisa diakses.</t>
  </si>
  <si>
    <t>Jumlah dosen lebih banyak daripada jumlah mahasiswa pada saat TS. (perlu klarifikasi saat AL).</t>
  </si>
  <si>
    <t>Selama tiga tahun ada 18 judul penelitian atas biaya mandiri atau PT sendiri (perlu dicek  laporan penelitian).</t>
  </si>
  <si>
    <t>Upaya pengembangan dosen melalui pemberian kesempatan (pemberian bantuan uang pada semester pertama), bantuan penerbitan buku, pembuatan HaKI buku (realitas tidak ada), bantuan penerbitan artikel pada jurnal terakreditasi nasional, dan biaya pelaksanaan seminar.</t>
  </si>
  <si>
    <t xml:space="preserve">A. UPPS memiliki  enam tenaga kependidikan. Seorang kepala perpustakaan dengan latar bekalang S1 perpustakaan.  Dua orang tenga kepustakaan yang berlatar belakang non-kepustakaan. Tiga orang statf tata usaha yang berlatar belakang pendidikan S1 PBA dan S1 Ekonomi Syari'ah. Tidak dikemukakan tenaga kependidikan sebagai teknisi, laboran,  dan programer. Secara kuantitas memenuhi kecukupan, akan tetapi secara kualitatif kurang memadai, terutama yang terkait dengan pemanfaatan teknologi informasi dan komputer dalam proses administrasi. B. UPPS tidak memiliki tenaga laboran. </t>
  </si>
  <si>
    <t>Realisasi investasi dalam kurun waktu tiga tahun terkahir sebagaimana yang tertulis pada tabel 4 untuk SDM  sebesar 375.000.000, untuk sarana-50.000.000, dan untuk prasarana 100.000.000. Presentase realisasi dana ini kurang memenuhi standar Tridharma.</t>
  </si>
  <si>
    <t>UPPS menyediakan sarana-prasarana misalnya ruang kelas, kantor, ruang LPM, asrama mahasiswa, perpustakaan, masjid, dan lainnya. U Akan tetapi, perihal yang terkait dengan kecukupan dan Aksesibilitas Sarana Teknologi Informasi dan Komunikasi tidak jelas. Hanya disebutkan internet kampus, proyektor, komputer. Tidak dikemukakan laman yang terkait dengan SIAKAD, SIMPEGA, dan lainya. Dengan demikian, ketersediaan sarana-prasarana serta aksesibilitas katagori cukup. PPS tidak memiliki Laboratorium, khususnya Lab. bahasa.</t>
  </si>
  <si>
    <t>A. Diinformasikan, bahwa  pemutakhiran kurikulum melibatkan pemangku kepentingan dan dosen. Akan tetapi, tidak dijelaskan  secara spesifik siapa saja dari pemangku kepentingan internal dan eksternal  yang terlibat. B. Tidak ada informasi atau link untuk mengakses capaian pembelajaran yang diturunkan dari profil lulusan. C. Karena tidak ada informasi tentang profil lulusan dan capaian pembelajaran baik pada tataran sikap, pengetahuan (umum dan khusus), dan keterampilan (umum dan khusus), maka sulit untuk ditentukan ketepatan struktur kurikulum.</t>
  </si>
  <si>
    <t>Tidak ada  penjelasan secara spesifik dan eksplisit yang terkait dengan karakteristik proses pembelajaran yang terdiri dari interaktif, holistik, integratif, sanitifik, tematik, efektif, kolaboratif, dan berpusat pada mahasiswa. Hanya dikemukakan, bahwa pembelajaran terdiri dari interaktif, holistik, integratif, sanitifik, tmeatik, efektif, kolaboratif, dan berpusat pada mahasiswa</t>
  </si>
  <si>
    <t>A. Tidak ada informasi yang terkait dengan bentuk interaksi antara dosen, mahasiswa, dan sumber belajar. B. Yang terinformasikan bahwa monev terhadap proses pembelajaran ditunjukkan dengan buku agenda dosen dan absen tatap muka dosen-mahasiswa yang tidak ditunjang dengan bukti yang sahih. C. Tidak ada penjelasan tentang  proses pembelajaran yang terkait dengan penelitian harus mengacu  pada SN Dikti. D.Tidak ada penjelasan tentang  proses pembelajaran yang terkait dengan PkM harus mengacu  pada SN Dikti. E. Tidak ada penjelasan tentang  kesesuaian metode dengan capaian pembelajaran (tidak ada penjelasan bahwa metode pembelajaran sesuai dengan CP).</t>
  </si>
  <si>
    <t>Informasi yang terkait dengan monev pelaksanaan pembelajaran normatif. Tidak terinformasikan karakteristik perencanaan, pelaksanaan, proses dan beban belajar mahasiswa.</t>
  </si>
  <si>
    <t xml:space="preserve">Ada lima matakuliah yang dikembangkan berdasarkan hasil penelitian dan PkM.  CATATAN: Yang perlu diklarifikasi  bahwa antara judul penelitian dengan matakuliah yang dikembangkan ada yang  kurang sinkron, misalnya judul penelitian "Paradigma Pembelajaran Bahasa Arab" yang dikembangkan sebagai baham ajar Matakuliah Metodologi Penelitian. </t>
  </si>
  <si>
    <t>Tidak tergambar   peta jalan PkM (yang dikemukakan bahwa PT menetapkan setiap dosen memilikii roadmap PkM, tetapi tidak ada roadmapnya, yang tergambar pada tabel 7 lebih pada judul PkM bukan peta jalan PkM. Dosen dan mahasiswa melakukan PkM sesuai roadmap, tetapi tidak ada wujud roadmapnya, Evaluasi kesesuaian PkM dengan roadmap dilakukan oleh LPM tetapi, keberadaan roadmap PkM tidak ada,  sehingga tidak dapat diketahui kesesuaiannya. Hasil evaluasi digunakan untuk perbaikan relevansi PkM dan pengembangan keilmuan PS. Hasil PkM dosen mahasiwa disampaikan pada pimpinan STAI sebelum dipublikasikan.</t>
  </si>
  <si>
    <r>
      <t xml:space="preserve">Data kuantitatif menunjukkan bahwa persentase responden lulusan 96,9%,  kesesuaian bidang pekerjaan 87,2%.  </t>
    </r>
    <r>
      <rPr>
        <b/>
        <sz val="11"/>
        <color rgb="FF000000"/>
        <rFont val="Calibri"/>
        <family val="2"/>
      </rPr>
      <t>CATATAN</t>
    </r>
    <r>
      <rPr>
        <sz val="11"/>
        <color rgb="FF000000"/>
        <rFont val="Calibri"/>
      </rPr>
      <t>:  informasi kualitatif yang terkait dengan pelaksanaan tracer study tidak ada. Sementara itu data pada tabel 8.d.2  mengindikasikan adanya studi penelusuran lulusan.</t>
    </r>
  </si>
  <si>
    <r>
      <t xml:space="preserve">Data kuantitatif menunjukkan bahwa persentasei responden lulusan 96,9%,  masa tunggu 2,1 bulan. </t>
    </r>
    <r>
      <rPr>
        <b/>
        <sz val="11"/>
        <color rgb="FF000000"/>
        <rFont val="Calibri"/>
        <family val="2"/>
      </rPr>
      <t>CATATAN:</t>
    </r>
    <r>
      <rPr>
        <sz val="11"/>
        <color rgb="FF000000"/>
        <rFont val="Calibri"/>
      </rPr>
      <t xml:space="preserve">  informasi kualitatif yang terkait dengan pelaksanaan tracer study tidak ada. Sementara itu, (data pada tabel 8.d.1  mengindikasikan adanya studi penelusuran lulusan)</t>
    </r>
  </si>
  <si>
    <r>
      <t xml:space="preserve">Data kuantitatif menunjukkan bahwa persentase responden lulusan 96,9%, jumlah lulusan yang bekerja tingkat nasional berijin  1,  dan yang tidak berijin 2 orang, dan yang bekerja di tingkat wilayah tidak berijin 18.  </t>
    </r>
    <r>
      <rPr>
        <b/>
        <sz val="11"/>
        <color rgb="FF000000"/>
        <rFont val="Calibri"/>
        <family val="2"/>
      </rPr>
      <t>CATATAN</t>
    </r>
    <r>
      <rPr>
        <sz val="11"/>
        <color rgb="FF000000"/>
        <rFont val="Calibri"/>
      </rPr>
      <t xml:space="preserve">:  informasi kualitatif yang terkait dengan pelaksanaan tracer study tidak ada, sementara itu, data pada tabel 8.e.1  mengindikasikan adanya studi penelusuran lulusan. </t>
    </r>
  </si>
  <si>
    <r>
      <t xml:space="preserve">Jumlah persentase responden pengguna lulusan 251% (TS-4 = 80 orang, TS-3 = 80 orang, dan TS-2 = 86 orang). Rerata penilaian katagori sangat baik. </t>
    </r>
    <r>
      <rPr>
        <b/>
        <sz val="11"/>
        <color rgb="FF000000"/>
        <rFont val="Calibri"/>
        <family val="2"/>
      </rPr>
      <t>CATATAN</t>
    </r>
    <r>
      <rPr>
        <sz val="11"/>
        <color rgb="FF000000"/>
        <rFont val="Calibri"/>
      </rPr>
      <t xml:space="preserve">: Perlu diklarfikasi laporan hasil pelacakan saat AL mengingat informasi kualitatif tentang tracer study tidak dijelaskan). </t>
    </r>
  </si>
  <si>
    <t>2.5</t>
  </si>
  <si>
    <t>UPPS menjalin kerjasama bidang pendidikan, penelitian, dan PkM yang kesemuanya dalam negeri dan lebih didominasi kerjasama denga lembaga di sekitarnya. Manfaat untuk bidang pendidikan lebih pada pertukaran dosen implementasi keilmuan dan kompetensi dosen. Manfaat bidang penelitian untuk perolehan dana dan publikasi hasil penelitian. Manfaat bidang PkM berupa peningkatan wawasan dosen di bidang pengabdian. Disebtukan, bahwa  kerjasama diperkuat dengan MoU dan SP (perlu diklarifikasi saat AL, karena tidak ada link untuk akses MoU dan SP). Tidak tercermin bagaimana kepuasan mitra kerjasama dan keberlanjutannya.</t>
  </si>
  <si>
    <t>UPPS telah melakukan analisis keberhasilan dan ketidakberhasilan sistem tata pamong melalui deskripsi masalah dan akar masalah, faktor pendukung dan penghambat serta  indikator ketercapaian, serta tindak lanjut. Akan tetapi, capaian kinerja masih normatif sehingga tidak dapat diukur dan hasil capaiannya juga tidak dievaluasi. Tidak terinfomasikan pula  keberkalaannya analisis capaian kinerja  (misalnya setiap tahun) dan tidak ada informasi  tentang pempublikasian kepada pemangku kepentingan.</t>
  </si>
  <si>
    <t>Berdasarkan data keuangan dapat dikemukakan,  bahwa Realisasi investasi dalam kurun waktu tiga tahun terkahir sebagaimana yang tertulis pada tabel 4 untuk SDM  sebesar   Rp. 375.000.000, untuk sarana-50.000.000, dan untuk prasarana 100.000.000. Presentase realisasi dana ini kurang kurang dapat menjamin keberlangsungan operasional tridharma PT.</t>
  </si>
  <si>
    <t xml:space="preserve"> </t>
  </si>
  <si>
    <t>BENGKULU</t>
  </si>
  <si>
    <t>Dr.Kasmantoni. M.Si</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</si>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</sst>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_-;\-* #,##0_-;_-* &quot;-&quot;_-;_-@_-"/>
    <numFmt numFmtId="165" formatCode="0.0%"/>
    <numFmt numFmtId="166" formatCode="0.0"/>
    <numFmt numFmtId="167" formatCode="_(* #,##0.00_);_(* \(#,##0.00\);_(* &quot;-&quot;??_);_(@_)"/>
    <numFmt numFmtId="168" formatCode="[$-409]d\-mmm\-yyyy;@"/>
  </numFmts>
  <fonts count="36" x14ac:knownFonts="1">
    <font>
      <sz val="11"/>
      <color rgb="FF000000"/>
      <name val="Calibri"/>
    </font>
    <font>
      <sz val="12"/>
      <color rgb="FF000000"/>
      <name val="Calibri"/>
    </font>
    <font>
      <b/>
      <sz val="16"/>
      <color rgb="FFFFFFFF"/>
      <name val="Calibri"/>
    </font>
    <font>
      <b/>
      <sz val="26"/>
      <color rgb="FFFFFFFF"/>
      <name val="Calibri"/>
    </font>
    <font>
      <b/>
      <sz val="14"/>
      <color rgb="FFFFFFFF"/>
      <name val="Calibri"/>
    </font>
    <font>
      <sz val="18"/>
      <color rgb="FF000000"/>
      <name val="Calibri"/>
    </font>
    <font>
      <b/>
      <sz val="18"/>
      <color rgb="FFFFFFFF"/>
      <name val="Calibri"/>
    </font>
    <font>
      <b/>
      <sz val="18"/>
      <color rgb="FF000000"/>
      <name val="Calibri"/>
    </font>
    <font>
      <sz val="11"/>
      <color rgb="FFFFFF00"/>
      <name val="Calibri"/>
    </font>
    <font>
      <u/>
      <sz val="11"/>
      <color rgb="FF000000"/>
      <name val="Calibri"/>
    </font>
    <font>
      <b/>
      <sz val="11"/>
      <color rgb="FFFFFFFF"/>
      <name val="Calibri"/>
    </font>
    <font>
      <b/>
      <sz val="18"/>
      <color rgb="FFFFFF00"/>
      <name val="Calibri"/>
    </font>
    <font>
      <sz val="14"/>
      <color rgb="FF000000"/>
      <name val="Calibri"/>
    </font>
    <font>
      <sz val="14"/>
      <color rgb="FF92D050"/>
      <name val="Calibri"/>
    </font>
    <font>
      <sz val="9"/>
      <color rgb="FF000000"/>
      <name val="Arial"/>
    </font>
    <font>
      <sz val="11"/>
      <color rgb="FFFFFFFF"/>
      <name val="Calibri"/>
    </font>
    <font>
      <b/>
      <sz val="12"/>
      <color rgb="FF000000"/>
      <name val="Calibri"/>
    </font>
    <font>
      <b/>
      <sz val="11"/>
      <color rgb="FF000000"/>
      <name val="Calibri"/>
    </font>
    <font>
      <b/>
      <sz val="9"/>
      <color rgb="FF000000"/>
      <name val="Calibri"/>
    </font>
    <font>
      <sz val="9"/>
      <color rgb="FF000000"/>
      <name val="Calibri"/>
    </font>
    <font>
      <b/>
      <sz val="10"/>
      <color rgb="FF000000"/>
      <name val="Calibri"/>
    </font>
    <font>
      <sz val="10"/>
      <color rgb="FF000000"/>
      <name val="Calibri"/>
    </font>
    <font>
      <b/>
      <sz val="18"/>
      <color rgb="FF008080"/>
      <name val="Calibri"/>
    </font>
    <font>
      <b/>
      <sz val="14"/>
      <color rgb="FF008080"/>
      <name val="Calibri"/>
    </font>
    <font>
      <b/>
      <sz val="22"/>
      <color rgb="FF000000"/>
      <name val="Calibri"/>
    </font>
    <font>
      <b/>
      <u/>
      <sz val="11"/>
      <color rgb="FF000000"/>
      <name val="Calibri"/>
    </font>
    <font>
      <b/>
      <sz val="12"/>
      <color rgb="FFFFFFFF"/>
      <name val="Calibri"/>
    </font>
    <font>
      <b/>
      <sz val="12"/>
      <color rgb="FFFFFF00"/>
      <name val="Calibri"/>
    </font>
    <font>
      <i/>
      <sz val="11"/>
      <color rgb="FF000000"/>
      <name val="Calibri"/>
    </font>
    <font>
      <vertAlign val="subscript"/>
      <sz val="11"/>
      <color rgb="FF000000"/>
      <name val="Calibri"/>
    </font>
    <font>
      <sz val="11"/>
      <color rgb="FF000000"/>
      <name val="Symbol"/>
    </font>
    <font>
      <b/>
      <sz val="9"/>
      <color rgb="FF000000"/>
      <name val="Tahoma"/>
    </font>
    <font>
      <sz val="9"/>
      <color rgb="FF000000"/>
      <name val="Tahoma"/>
    </font>
    <font>
      <sz val="11"/>
      <color rgb="FF000000"/>
      <name val="Calibri"/>
      <family val="2"/>
    </font>
    <font>
      <b/>
      <sz val="11"/>
      <color rgb="FF000000"/>
      <name val="Calibri"/>
      <family val="2"/>
    </font>
    <font>
      <b/>
      <sz val="11"/>
      <name val="Calibri"/>
      <family val="2"/>
    </font>
  </fonts>
  <fills count="19">
    <fill>
      <patternFill patternType="none"/>
    </fill>
    <fill>
      <patternFill patternType="gray125"/>
    </fill>
    <fill>
      <patternFill patternType="none"/>
    </fill>
    <fill>
      <patternFill patternType="solid">
        <fgColor rgb="FF008080"/>
        <bgColor rgb="FFFFFFFF"/>
      </patternFill>
    </fill>
    <fill>
      <patternFill patternType="solid">
        <fgColor rgb="FFFFFF00"/>
        <bgColor rgb="FFFFFFFF"/>
      </patternFill>
    </fill>
    <fill>
      <patternFill patternType="solid">
        <fgColor rgb="FFBFBFBF"/>
        <bgColor rgb="FFFFFFFF"/>
      </patternFill>
    </fill>
    <fill>
      <patternFill patternType="solid">
        <fgColor rgb="FF00FF00"/>
        <bgColor rgb="FFFFFFFF"/>
      </patternFill>
    </fill>
    <fill>
      <patternFill patternType="solid">
        <fgColor rgb="FF00B050"/>
        <bgColor rgb="FFFFFFFF"/>
      </patternFill>
    </fill>
    <fill>
      <patternFill patternType="solid">
        <fgColor rgb="FFFFFFFF"/>
        <bgColor rgb="FFFFFFFF"/>
      </patternFill>
    </fill>
    <fill>
      <patternFill patternType="solid">
        <fgColor rgb="FFDAEEF3"/>
        <bgColor rgb="FFFFFFFF"/>
      </patternFill>
    </fill>
    <fill>
      <patternFill patternType="solid">
        <fgColor rgb="FF66FF33"/>
        <bgColor rgb="FFFFFFFF"/>
      </patternFill>
    </fill>
    <fill>
      <patternFill patternType="solid">
        <fgColor rgb="FF000000"/>
        <bgColor rgb="FFFFFFFF"/>
      </patternFill>
    </fill>
    <fill>
      <patternFill patternType="solid">
        <fgColor rgb="FF388194"/>
        <bgColor rgb="FFFFFFFF"/>
      </patternFill>
    </fill>
    <fill>
      <patternFill patternType="solid">
        <fgColor rgb="FFD8D8D8"/>
        <bgColor rgb="FFFFFFFF"/>
      </patternFill>
    </fill>
    <fill>
      <patternFill patternType="solid">
        <fgColor rgb="FFF79646"/>
        <bgColor rgb="FFFFFFFF"/>
      </patternFill>
    </fill>
    <fill>
      <patternFill patternType="solid">
        <fgColor rgb="FFFBD4B4"/>
        <bgColor rgb="FFFFFFFF"/>
      </patternFill>
    </fill>
    <fill>
      <patternFill patternType="solid">
        <fgColor rgb="FFEAF1DD"/>
        <bgColor rgb="FFFFFFFF"/>
      </patternFill>
    </fill>
    <fill>
      <patternFill patternType="solid">
        <fgColor rgb="FF0070C0"/>
        <bgColor rgb="FFFFFFFF"/>
      </patternFill>
    </fill>
    <fill>
      <patternFill patternType="solid">
        <fgColor rgb="FFFF0000"/>
        <bgColor rgb="FF000000"/>
      </patternFill>
    </fill>
  </fills>
  <borders count="54">
    <border>
      <left/>
      <right/>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thin">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medium">
        <color rgb="FF000000"/>
      </top>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right style="thin">
        <color rgb="FF000000"/>
      </right>
      <top/>
      <bottom/>
      <diagonal/>
    </border>
    <border>
      <left style="thin">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s>
  <cellStyleXfs count="1">
    <xf numFmtId="0" fontId="0" fillId="0" borderId="0"/>
  </cellStyleXfs>
  <cellXfs count="382">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1" fillId="2" borderId="0" xfId="0" applyFont="1" applyFill="1" applyAlignment="1">
      <alignment horizontal="center" vertical="center"/>
    </xf>
    <xf numFmtId="0" fontId="0" fillId="2" borderId="0" xfId="0" applyFill="1" applyAlignment="1">
      <alignment horizontal="center" vertical="center"/>
    </xf>
    <xf numFmtId="0" fontId="2" fillId="3" borderId="0" xfId="0" applyFont="1" applyFill="1" applyAlignment="1">
      <alignment vertical="center"/>
    </xf>
    <xf numFmtId="0" fontId="0" fillId="3" borderId="0" xfId="0" applyFill="1" applyAlignment="1">
      <alignment vertical="center"/>
    </xf>
    <xf numFmtId="0" fontId="0" fillId="2" borderId="0" xfId="0" applyFill="1" applyAlignment="1">
      <alignment vertical="center"/>
    </xf>
    <xf numFmtId="0" fontId="3" fillId="3" borderId="0" xfId="0" applyFont="1" applyFill="1" applyAlignment="1">
      <alignment vertical="center"/>
    </xf>
    <xf numFmtId="0" fontId="4" fillId="3" borderId="0" xfId="0" applyFont="1" applyFill="1" applyAlignment="1">
      <alignment vertical="center" wrapText="1"/>
    </xf>
    <xf numFmtId="0" fontId="0" fillId="3" borderId="0" xfId="0" applyFill="1" applyAlignment="1">
      <alignment horizontal="center" vertical="center"/>
    </xf>
    <xf numFmtId="0" fontId="5" fillId="2" borderId="0" xfId="0" applyFont="1" applyFill="1" applyAlignment="1">
      <alignment vertical="center"/>
    </xf>
    <xf numFmtId="0" fontId="0" fillId="3" borderId="0" xfId="0" applyFill="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6" fillId="3" borderId="0" xfId="0" applyFont="1" applyFill="1" applyAlignment="1">
      <alignment vertical="center" wrapText="1"/>
    </xf>
    <xf numFmtId="0" fontId="7" fillId="3" borderId="0" xfId="0" applyFont="1" applyFill="1" applyAlignment="1">
      <alignment vertical="center"/>
    </xf>
    <xf numFmtId="14" fontId="0" fillId="3" borderId="0" xfId="0" applyNumberFormat="1" applyFill="1" applyAlignment="1">
      <alignment vertical="center"/>
    </xf>
    <xf numFmtId="0" fontId="8" fillId="3" borderId="0" xfId="0" applyFont="1" applyFill="1" applyAlignment="1">
      <alignment vertical="center"/>
    </xf>
    <xf numFmtId="14" fontId="8" fillId="3" borderId="0" xfId="0" applyNumberFormat="1" applyFont="1" applyFill="1" applyAlignment="1">
      <alignment vertical="center"/>
    </xf>
    <xf numFmtId="2" fontId="0" fillId="4" borderId="1" xfId="0" applyNumberFormat="1" applyFill="1" applyBorder="1" applyAlignment="1">
      <alignment horizontal="center" vertical="center"/>
    </xf>
    <xf numFmtId="0" fontId="0" fillId="2" borderId="2" xfId="0" applyFill="1" applyBorder="1" applyAlignment="1">
      <alignment horizontal="center" vertical="center" wrapText="1"/>
    </xf>
    <xf numFmtId="1" fontId="0" fillId="2" borderId="3" xfId="0" applyNumberFormat="1" applyFill="1" applyBorder="1" applyAlignment="1" applyProtection="1">
      <alignment horizontal="center" vertical="center"/>
      <protection locked="0"/>
    </xf>
    <xf numFmtId="2" fontId="0" fillId="2" borderId="3" xfId="0" applyNumberFormat="1" applyFill="1" applyBorder="1" applyAlignment="1" applyProtection="1">
      <alignment horizontal="center" vertical="center"/>
      <protection locked="0"/>
    </xf>
    <xf numFmtId="2" fontId="0" fillId="5" borderId="4" xfId="0" applyNumberFormat="1" applyFill="1" applyBorder="1" applyAlignment="1">
      <alignment horizontal="center" vertical="center"/>
    </xf>
    <xf numFmtId="0" fontId="9" fillId="2" borderId="5" xfId="0" applyFont="1" applyFill="1" applyBorder="1" applyAlignment="1">
      <alignment horizontal="center" vertical="center"/>
    </xf>
    <xf numFmtId="0" fontId="0" fillId="2" borderId="5" xfId="0" applyFill="1" applyBorder="1" applyAlignment="1">
      <alignment horizontal="left" vertical="center"/>
    </xf>
    <xf numFmtId="2" fontId="0" fillId="2" borderId="5" xfId="0" applyNumberFormat="1" applyFill="1" applyBorder="1" applyAlignment="1">
      <alignment horizontal="center" vertical="center"/>
    </xf>
    <xf numFmtId="0" fontId="0" fillId="2" borderId="0" xfId="0" applyFill="1" applyAlignment="1" applyProtection="1">
      <alignment horizontal="left" vertical="top" wrapText="1"/>
      <protection locked="0"/>
    </xf>
    <xf numFmtId="0" fontId="0" fillId="2" borderId="6" xfId="0" applyFill="1" applyBorder="1" applyAlignment="1">
      <alignment horizontal="center" vertical="center" wrapText="1"/>
    </xf>
    <xf numFmtId="1" fontId="0" fillId="2" borderId="7" xfId="0" applyNumberFormat="1" applyFill="1" applyBorder="1" applyAlignment="1" applyProtection="1">
      <alignment horizontal="center" vertical="center"/>
      <protection locked="0"/>
    </xf>
    <xf numFmtId="2" fontId="0" fillId="2" borderId="7" xfId="0" applyNumberFormat="1" applyFill="1" applyBorder="1" applyAlignment="1" applyProtection="1">
      <alignment horizontal="center" vertical="center"/>
      <protection locked="0"/>
    </xf>
    <xf numFmtId="2" fontId="0" fillId="4" borderId="8" xfId="0" applyNumberFormat="1" applyFill="1" applyBorder="1" applyAlignment="1">
      <alignment horizontal="center" vertical="center"/>
    </xf>
    <xf numFmtId="2" fontId="0" fillId="5" borderId="9" xfId="0" applyNumberFormat="1" applyFill="1" applyBorder="1" applyAlignment="1">
      <alignment horizontal="center" vertical="center"/>
    </xf>
    <xf numFmtId="0" fontId="0" fillId="2" borderId="10" xfId="0" applyFill="1" applyBorder="1" applyAlignment="1">
      <alignment horizontal="left" vertical="center"/>
    </xf>
    <xf numFmtId="2" fontId="0" fillId="2" borderId="1" xfId="0" applyNumberFormat="1" applyFill="1" applyBorder="1" applyAlignment="1" applyProtection="1">
      <alignment horizontal="center" vertical="center"/>
      <protection locked="0"/>
    </xf>
    <xf numFmtId="1" fontId="0" fillId="2" borderId="0" xfId="0" applyNumberFormat="1" applyFill="1" applyAlignment="1">
      <alignment vertical="center"/>
    </xf>
    <xf numFmtId="10" fontId="0" fillId="2" borderId="0" xfId="0" applyNumberFormat="1" applyFill="1" applyAlignment="1">
      <alignment vertical="center"/>
    </xf>
    <xf numFmtId="0" fontId="0" fillId="2" borderId="0" xfId="0" applyFill="1" applyAlignment="1">
      <alignment horizontal="left" vertical="center"/>
    </xf>
    <xf numFmtId="0" fontId="0" fillId="2" borderId="0" xfId="0" applyFill="1" applyAlignment="1">
      <alignment horizontal="left" vertical="top"/>
    </xf>
    <xf numFmtId="0" fontId="0" fillId="2" borderId="0" xfId="0" applyFill="1" applyAlignment="1">
      <alignment horizontal="right" vertical="center"/>
    </xf>
    <xf numFmtId="2" fontId="0" fillId="2" borderId="0" xfId="0" applyNumberFormat="1" applyFill="1" applyAlignment="1">
      <alignment vertical="center"/>
    </xf>
    <xf numFmtId="2" fontId="0" fillId="2" borderId="0" xfId="0" applyNumberFormat="1" applyFill="1" applyAlignment="1">
      <alignment vertical="center"/>
    </xf>
    <xf numFmtId="1" fontId="0" fillId="2" borderId="0" xfId="0" applyNumberFormat="1" applyFill="1" applyAlignment="1">
      <alignment horizontal="right" vertical="center"/>
    </xf>
    <xf numFmtId="2" fontId="0" fillId="2" borderId="0" xfId="0" applyNumberFormat="1" applyFill="1" applyAlignment="1">
      <alignment horizontal="right" vertical="center"/>
    </xf>
    <xf numFmtId="0" fontId="0" fillId="2" borderId="1" xfId="0" applyFill="1" applyBorder="1" applyAlignment="1">
      <alignment horizontal="center" vertical="center"/>
    </xf>
    <xf numFmtId="2" fontId="0" fillId="6" borderId="3" xfId="0" applyNumberFormat="1" applyFill="1" applyBorder="1" applyAlignment="1" applyProtection="1">
      <alignment horizontal="center" vertical="center"/>
      <protection locked="0"/>
    </xf>
    <xf numFmtId="0" fontId="9" fillId="2" borderId="0" xfId="0" applyFont="1" applyFill="1" applyAlignment="1">
      <alignment horizontal="center" vertical="center"/>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10" fontId="0" fillId="6" borderId="15" xfId="0" applyNumberFormat="1" applyFill="1" applyBorder="1" applyAlignment="1">
      <alignment horizontal="center" vertical="center"/>
    </xf>
    <xf numFmtId="2" fontId="0" fillId="6" borderId="15" xfId="0" applyNumberFormat="1" applyFill="1" applyBorder="1" applyAlignment="1">
      <alignment horizontal="center" vertical="center"/>
    </xf>
    <xf numFmtId="165" fontId="0" fillId="6" borderId="15" xfId="0" applyNumberFormat="1" applyFill="1" applyBorder="1" applyAlignment="1">
      <alignment horizontal="center" vertical="center"/>
    </xf>
    <xf numFmtId="0" fontId="0" fillId="2" borderId="0" xfId="0" applyFill="1" applyAlignment="1">
      <alignment vertical="top"/>
    </xf>
    <xf numFmtId="1" fontId="0" fillId="5" borderId="15" xfId="0" applyNumberFormat="1" applyFill="1" applyBorder="1" applyAlignment="1">
      <alignment horizontal="center" vertical="center"/>
    </xf>
    <xf numFmtId="166" fontId="0" fillId="6" borderId="15" xfId="0" applyNumberFormat="1" applyFill="1" applyBorder="1" applyAlignment="1">
      <alignment horizontal="center" vertical="center"/>
    </xf>
    <xf numFmtId="2" fontId="0" fillId="6" borderId="15" xfId="0" applyNumberFormat="1" applyFill="1" applyBorder="1" applyAlignment="1">
      <alignment horizontal="center" vertical="center"/>
    </xf>
    <xf numFmtId="0" fontId="0" fillId="2" borderId="2" xfId="0" applyFill="1" applyBorder="1" applyAlignment="1">
      <alignment vertical="center" wrapText="1"/>
    </xf>
    <xf numFmtId="0" fontId="0" fillId="2" borderId="2" xfId="0" applyFill="1" applyBorder="1" applyAlignment="1">
      <alignment vertical="top" wrapText="1"/>
    </xf>
    <xf numFmtId="0" fontId="0" fillId="2" borderId="5" xfId="0" applyFill="1" applyBorder="1" applyAlignment="1">
      <alignment horizontal="left" vertical="center"/>
    </xf>
    <xf numFmtId="0" fontId="0" fillId="2" borderId="2" xfId="0" applyFill="1" applyBorder="1" applyAlignment="1">
      <alignment wrapText="1"/>
    </xf>
    <xf numFmtId="0" fontId="0" fillId="2" borderId="0" xfId="0" applyFill="1" applyAlignment="1">
      <alignment vertical="center" wrapText="1"/>
    </xf>
    <xf numFmtId="0" fontId="0" fillId="8" borderId="2" xfId="0" applyFill="1" applyBorder="1" applyAlignment="1">
      <alignment vertical="top" wrapText="1"/>
    </xf>
    <xf numFmtId="0" fontId="0" fillId="2" borderId="10" xfId="0" applyFill="1" applyBorder="1" applyAlignment="1">
      <alignment horizontal="left" vertical="center"/>
    </xf>
    <xf numFmtId="0" fontId="0" fillId="2" borderId="0" xfId="0" applyFill="1" applyAlignment="1">
      <alignment horizontal="left" vertical="center"/>
    </xf>
    <xf numFmtId="0" fontId="0" fillId="8" borderId="2" xfId="0" applyFill="1" applyBorder="1" applyAlignment="1">
      <alignment wrapText="1"/>
    </xf>
    <xf numFmtId="0" fontId="0" fillId="2" borderId="16" xfId="0" applyFill="1" applyBorder="1" applyAlignment="1">
      <alignment horizontal="left" vertical="center"/>
    </xf>
    <xf numFmtId="0" fontId="0" fillId="2" borderId="16" xfId="0" applyFill="1" applyBorder="1" applyAlignment="1">
      <alignment horizontal="right" vertical="center"/>
    </xf>
    <xf numFmtId="0" fontId="0" fillId="2" borderId="0" xfId="0" applyFill="1" applyAlignment="1">
      <alignment vertical="center"/>
    </xf>
    <xf numFmtId="165" fontId="0" fillId="5" borderId="15" xfId="0" applyNumberFormat="1" applyFill="1" applyBorder="1" applyAlignment="1">
      <alignment horizontal="center" vertical="center"/>
    </xf>
    <xf numFmtId="0" fontId="0" fillId="9" borderId="17" xfId="0" applyFill="1" applyBorder="1" applyAlignment="1">
      <alignment horizontal="left" vertical="center" wrapText="1"/>
    </xf>
    <xf numFmtId="0" fontId="0" fillId="9" borderId="18" xfId="0" applyFill="1" applyBorder="1" applyAlignment="1">
      <alignment horizontal="left" vertical="center"/>
    </xf>
    <xf numFmtId="165" fontId="0" fillId="10" borderId="15" xfId="0" applyNumberFormat="1" applyFill="1" applyBorder="1" applyAlignment="1">
      <alignment horizontal="center"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0" xfId="0" applyFont="1" applyFill="1" applyAlignment="1">
      <alignment vertical="center"/>
    </xf>
    <xf numFmtId="0" fontId="5" fillId="8" borderId="0" xfId="0" applyFont="1" applyFill="1" applyAlignment="1">
      <alignment horizontal="center" vertical="center"/>
    </xf>
    <xf numFmtId="2" fontId="0" fillId="2" borderId="19" xfId="0" applyNumberFormat="1" applyFill="1" applyBorder="1" applyAlignment="1">
      <alignment horizontal="center" vertical="center"/>
    </xf>
    <xf numFmtId="0" fontId="0" fillId="2" borderId="0" xfId="0" applyFill="1" applyAlignment="1">
      <alignment horizontal="right" vertical="center"/>
    </xf>
    <xf numFmtId="0" fontId="14" fillId="2" borderId="0" xfId="0" applyFont="1" applyFill="1" applyAlignment="1">
      <alignment vertical="center" wrapText="1"/>
    </xf>
    <xf numFmtId="0" fontId="0" fillId="2" borderId="20" xfId="0" applyFill="1" applyBorder="1" applyAlignment="1">
      <alignment horizontal="left" vertical="center" wrapText="1"/>
    </xf>
    <xf numFmtId="2" fontId="0" fillId="2" borderId="15" xfId="0" applyNumberFormat="1" applyFill="1" applyBorder="1" applyAlignment="1" applyProtection="1">
      <alignment horizontal="center" vertical="center"/>
      <protection locked="0"/>
    </xf>
    <xf numFmtId="0" fontId="0" fillId="2" borderId="21" xfId="0" applyFill="1" applyBorder="1" applyAlignment="1">
      <alignment horizontal="center" vertical="center" wrapText="1"/>
    </xf>
    <xf numFmtId="0" fontId="0" fillId="8" borderId="22" xfId="0" applyFill="1" applyBorder="1" applyAlignment="1">
      <alignment vertical="top" wrapText="1"/>
    </xf>
    <xf numFmtId="2" fontId="0" fillId="2" borderId="23" xfId="0" applyNumberFormat="1" applyFill="1" applyBorder="1" applyAlignment="1" applyProtection="1">
      <alignment horizontal="center" vertical="center"/>
      <protection locked="0"/>
    </xf>
    <xf numFmtId="2" fontId="0" fillId="4" borderId="3" xfId="0" applyNumberFormat="1" applyFill="1" applyBorder="1" applyAlignment="1">
      <alignment horizontal="center" vertical="center"/>
    </xf>
    <xf numFmtId="2" fontId="15" fillId="11" borderId="15" xfId="0" applyNumberFormat="1" applyFont="1" applyFill="1" applyBorder="1" applyAlignment="1" applyProtection="1">
      <alignment horizontal="center" vertical="center"/>
      <protection locked="0"/>
    </xf>
    <xf numFmtId="1" fontId="15" fillId="11" borderId="15" xfId="0" applyNumberFormat="1" applyFont="1" applyFill="1" applyBorder="1" applyAlignment="1">
      <alignment horizontal="center" vertical="center"/>
    </xf>
    <xf numFmtId="2" fontId="15" fillId="11" borderId="15" xfId="0" applyNumberFormat="1" applyFont="1" applyFill="1" applyBorder="1" applyAlignment="1">
      <alignment horizontal="center" vertical="center"/>
    </xf>
    <xf numFmtId="2" fontId="15" fillId="11" borderId="4" xfId="0" applyNumberFormat="1" applyFont="1" applyFill="1" applyBorder="1" applyAlignment="1">
      <alignment horizontal="center" vertical="center"/>
    </xf>
    <xf numFmtId="2" fontId="0" fillId="4" borderId="15" xfId="0" applyNumberFormat="1" applyFill="1" applyBorder="1" applyAlignment="1" applyProtection="1">
      <alignment horizontal="center" vertical="center"/>
      <protection locked="0"/>
    </xf>
    <xf numFmtId="2" fontId="0" fillId="6" borderId="15" xfId="0" applyNumberFormat="1" applyFill="1" applyBorder="1" applyAlignment="1">
      <alignment horizontal="center" vertical="center"/>
    </xf>
    <xf numFmtId="2" fontId="15" fillId="11" borderId="1" xfId="0" applyNumberFormat="1" applyFont="1" applyFill="1" applyBorder="1" applyAlignment="1" applyProtection="1">
      <alignment horizontal="center" vertical="center"/>
      <protection locked="0"/>
    </xf>
    <xf numFmtId="2" fontId="0" fillId="2" borderId="1" xfId="0" applyNumberFormat="1" applyFill="1" applyBorder="1" applyAlignment="1" applyProtection="1">
      <alignment horizontal="center" vertical="center"/>
      <protection locked="0"/>
    </xf>
    <xf numFmtId="2" fontId="0" fillId="5" borderId="8" xfId="0" applyNumberFormat="1" applyFill="1" applyBorder="1" applyAlignment="1">
      <alignment horizontal="center" vertical="center"/>
    </xf>
    <xf numFmtId="2" fontId="0" fillId="11" borderId="7" xfId="0" applyNumberFormat="1" applyFill="1" applyBorder="1" applyAlignment="1" applyProtection="1">
      <alignment horizontal="center" vertical="center"/>
      <protection locked="0"/>
    </xf>
    <xf numFmtId="0" fontId="0" fillId="11" borderId="6" xfId="0" applyFill="1" applyBorder="1" applyAlignment="1">
      <alignment horizontal="center" vertical="center" wrapText="1"/>
    </xf>
    <xf numFmtId="0" fontId="0" fillId="11" borderId="2" xfId="0" applyFill="1" applyBorder="1" applyAlignment="1">
      <alignment vertical="top" wrapText="1"/>
    </xf>
    <xf numFmtId="1" fontId="0" fillId="11" borderId="7" xfId="0" applyNumberFormat="1" applyFill="1" applyBorder="1" applyAlignment="1" applyProtection="1">
      <alignment horizontal="center" vertical="center"/>
      <protection locked="0"/>
    </xf>
    <xf numFmtId="9" fontId="0" fillId="6" borderId="15" xfId="0" applyNumberFormat="1" applyFill="1" applyBorder="1" applyAlignment="1">
      <alignment horizontal="center" vertical="center"/>
    </xf>
    <xf numFmtId="2" fontId="0" fillId="11" borderId="8" xfId="0" applyNumberFormat="1" applyFill="1" applyBorder="1" applyAlignment="1">
      <alignment horizontal="center" vertical="center"/>
    </xf>
    <xf numFmtId="0" fontId="0" fillId="11" borderId="22" xfId="0" applyFill="1" applyBorder="1" applyAlignment="1">
      <alignment vertical="top" wrapText="1"/>
    </xf>
    <xf numFmtId="1" fontId="0" fillId="11" borderId="23" xfId="0" applyNumberFormat="1" applyFill="1" applyBorder="1" applyAlignment="1" applyProtection="1">
      <alignment horizontal="center" vertical="center"/>
      <protection locked="0"/>
    </xf>
    <xf numFmtId="0" fontId="0" fillId="11" borderId="2" xfId="0" applyFill="1" applyBorder="1" applyAlignment="1">
      <alignment vertical="center" wrapText="1"/>
    </xf>
    <xf numFmtId="1" fontId="0" fillId="11" borderId="3" xfId="0" applyNumberFormat="1" applyFill="1" applyBorder="1" applyAlignment="1" applyProtection="1">
      <alignment vertical="center"/>
      <protection locked="0"/>
    </xf>
    <xf numFmtId="2" fontId="0" fillId="5" borderId="15" xfId="0" applyNumberFormat="1" applyFill="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vertical="center"/>
    </xf>
    <xf numFmtId="0" fontId="0" fillId="11" borderId="1" xfId="0" applyFill="1" applyBorder="1" applyAlignment="1">
      <alignment horizontal="center" vertical="center"/>
    </xf>
    <xf numFmtId="1" fontId="0" fillId="11" borderId="15" xfId="0" applyNumberFormat="1" applyFill="1" applyBorder="1" applyAlignment="1">
      <alignment horizontal="center" vertical="center"/>
    </xf>
    <xf numFmtId="2" fontId="0" fillId="11" borderId="4" xfId="0" applyNumberFormat="1" applyFill="1" applyBorder="1" applyAlignment="1">
      <alignment horizontal="center" vertical="center"/>
    </xf>
    <xf numFmtId="165" fontId="0" fillId="6" borderId="3" xfId="0" applyNumberFormat="1" applyFill="1" applyBorder="1" applyAlignment="1" applyProtection="1">
      <alignment horizontal="center" vertical="center"/>
      <protection locked="0"/>
    </xf>
    <xf numFmtId="0" fontId="0" fillId="2" borderId="6" xfId="0" applyFill="1" applyBorder="1" applyAlignment="1">
      <alignment vertical="center" wrapText="1"/>
    </xf>
    <xf numFmtId="166" fontId="15" fillId="11" borderId="2" xfId="0" applyNumberFormat="1" applyFont="1" applyFill="1" applyBorder="1" applyAlignment="1">
      <alignment horizontal="left" vertical="center"/>
    </xf>
    <xf numFmtId="2" fontId="15" fillId="11" borderId="3" xfId="0" applyNumberFormat="1" applyFont="1" applyFill="1" applyBorder="1" applyAlignment="1">
      <alignment horizontal="center" vertical="center"/>
    </xf>
    <xf numFmtId="10" fontId="15" fillId="11" borderId="2" xfId="0" applyNumberFormat="1" applyFont="1" applyFill="1" applyBorder="1" applyAlignment="1">
      <alignment horizontal="left" vertical="center"/>
    </xf>
    <xf numFmtId="0" fontId="15" fillId="11" borderId="21" xfId="0" applyFont="1" applyFill="1" applyBorder="1" applyAlignment="1">
      <alignment horizontal="left" vertical="center" wrapText="1"/>
    </xf>
    <xf numFmtId="0" fontId="15" fillId="11" borderId="24" xfId="0" applyFont="1" applyFill="1" applyBorder="1" applyAlignment="1">
      <alignment horizontal="left" vertical="center" wrapText="1"/>
    </xf>
    <xf numFmtId="0" fontId="15" fillId="11" borderId="3" xfId="0" applyFont="1" applyFill="1" applyBorder="1" applyAlignment="1">
      <alignment horizontal="center" vertical="center"/>
    </xf>
    <xf numFmtId="2" fontId="15" fillId="11" borderId="2" xfId="0" applyNumberFormat="1" applyFont="1" applyFill="1" applyBorder="1" applyAlignment="1">
      <alignment horizontal="left" vertical="center"/>
    </xf>
    <xf numFmtId="0" fontId="15" fillId="11" borderId="25" xfId="0" applyFont="1" applyFill="1" applyBorder="1" applyAlignment="1">
      <alignment horizontal="left" vertical="center" wrapText="1"/>
    </xf>
    <xf numFmtId="0" fontId="15" fillId="11" borderId="20" xfId="0" applyFont="1" applyFill="1" applyBorder="1" applyAlignment="1">
      <alignment horizontal="left" vertical="center" wrapText="1"/>
    </xf>
    <xf numFmtId="2" fontId="15" fillId="11" borderId="26" xfId="0" applyNumberFormat="1" applyFont="1" applyFill="1" applyBorder="1" applyAlignment="1">
      <alignment horizontal="center" vertical="center"/>
    </xf>
    <xf numFmtId="165" fontId="15" fillId="11" borderId="2" xfId="0" applyNumberFormat="1" applyFont="1" applyFill="1" applyBorder="1" applyAlignment="1">
      <alignment horizontal="left" vertical="center"/>
    </xf>
    <xf numFmtId="1" fontId="15" fillId="11" borderId="2" xfId="0" applyNumberFormat="1" applyFont="1" applyFill="1" applyBorder="1" applyAlignment="1">
      <alignment horizontal="left" vertical="center"/>
    </xf>
    <xf numFmtId="166" fontId="15" fillId="11" borderId="16" xfId="0" applyNumberFormat="1" applyFont="1" applyFill="1" applyBorder="1" applyAlignment="1">
      <alignment horizontal="left" vertical="center"/>
    </xf>
    <xf numFmtId="0" fontId="5" fillId="3" borderId="0" xfId="0" applyFont="1" applyFill="1" applyAlignment="1">
      <alignment horizontal="center" vertical="center"/>
    </xf>
    <xf numFmtId="2" fontId="0" fillId="2" borderId="8" xfId="0" applyNumberFormat="1" applyFill="1" applyBorder="1" applyAlignment="1" applyProtection="1">
      <alignment horizontal="center" vertical="center"/>
      <protection locked="0"/>
    </xf>
    <xf numFmtId="0" fontId="0" fillId="9" borderId="27" xfId="0" applyFill="1" applyBorder="1" applyAlignment="1">
      <alignment horizontal="left" vertical="center"/>
    </xf>
    <xf numFmtId="0" fontId="0" fillId="9" borderId="16" xfId="0" applyFill="1" applyBorder="1" applyAlignment="1">
      <alignment horizontal="left" vertical="center" wrapText="1"/>
    </xf>
    <xf numFmtId="1" fontId="0" fillId="10" borderId="3" xfId="0" applyNumberFormat="1" applyFill="1" applyBorder="1" applyAlignment="1">
      <alignment horizontal="center" vertical="center"/>
    </xf>
    <xf numFmtId="165" fontId="0" fillId="10" borderId="9" xfId="0" applyNumberFormat="1" applyFill="1" applyBorder="1" applyAlignment="1">
      <alignment horizontal="center" vertical="center"/>
    </xf>
    <xf numFmtId="0" fontId="0" fillId="2" borderId="0" xfId="0" applyFill="1" applyAlignment="1">
      <alignment horizontal="center" vertical="center"/>
    </xf>
    <xf numFmtId="0" fontId="0" fillId="2" borderId="25" xfId="0" applyFill="1" applyBorder="1" applyAlignment="1">
      <alignment horizontal="left" vertical="center" wrapText="1"/>
    </xf>
    <xf numFmtId="0" fontId="15" fillId="11" borderId="6" xfId="0" applyFont="1" applyFill="1" applyBorder="1" applyAlignment="1">
      <alignment horizontal="left" vertical="center" wrapText="1"/>
    </xf>
    <xf numFmtId="0" fontId="15" fillId="11" borderId="16" xfId="0" applyFont="1" applyFill="1" applyBorder="1" applyAlignment="1">
      <alignment horizontal="left" vertical="center" wrapText="1"/>
    </xf>
    <xf numFmtId="0" fontId="15" fillId="11" borderId="2" xfId="0" applyFont="1" applyFill="1" applyBorder="1" applyAlignment="1">
      <alignment horizontal="left" vertical="center" wrapText="1"/>
    </xf>
    <xf numFmtId="9" fontId="15" fillId="11" borderId="16" xfId="0" applyNumberFormat="1" applyFont="1" applyFill="1" applyBorder="1" applyAlignment="1">
      <alignment horizontal="left" vertical="center"/>
    </xf>
    <xf numFmtId="9" fontId="15" fillId="11" borderId="2" xfId="0" applyNumberFormat="1" applyFont="1" applyFill="1" applyBorder="1" applyAlignment="1">
      <alignment horizontal="left" vertical="center"/>
    </xf>
    <xf numFmtId="0" fontId="15" fillId="11" borderId="26" xfId="0" applyFont="1" applyFill="1" applyBorder="1" applyAlignment="1">
      <alignment horizontal="center" vertical="center"/>
    </xf>
    <xf numFmtId="2" fontId="0" fillId="6" borderId="3" xfId="0" applyNumberFormat="1" applyFill="1" applyBorder="1" applyAlignment="1">
      <alignment horizontal="center" vertical="center"/>
    </xf>
    <xf numFmtId="165" fontId="15" fillId="11" borderId="15" xfId="0" applyNumberFormat="1" applyFont="1" applyFill="1" applyBorder="1" applyAlignment="1">
      <alignment horizontal="center" vertical="center"/>
    </xf>
    <xf numFmtId="9" fontId="15" fillId="11" borderId="16" xfId="0" applyNumberFormat="1" applyFont="1" applyFill="1" applyBorder="1" applyAlignment="1">
      <alignment horizontal="left" vertical="center" wrapText="1"/>
    </xf>
    <xf numFmtId="1" fontId="0" fillId="11" borderId="3" xfId="0" applyNumberFormat="1" applyFill="1" applyBorder="1" applyAlignment="1">
      <alignment horizontal="center" vertical="center"/>
    </xf>
    <xf numFmtId="1" fontId="15" fillId="11" borderId="3" xfId="0" applyNumberFormat="1" applyFont="1" applyFill="1" applyBorder="1" applyAlignment="1">
      <alignment horizontal="center" vertical="center"/>
    </xf>
    <xf numFmtId="165" fontId="15" fillId="11" borderId="19" xfId="0" applyNumberFormat="1" applyFont="1" applyFill="1" applyBorder="1" applyAlignment="1">
      <alignment horizontal="center" vertical="center"/>
    </xf>
    <xf numFmtId="9" fontId="15" fillId="11" borderId="24" xfId="0" applyNumberFormat="1" applyFont="1" applyFill="1" applyBorder="1" applyAlignment="1">
      <alignment horizontal="left" vertical="center" wrapText="1"/>
    </xf>
    <xf numFmtId="0" fontId="15" fillId="11" borderId="2" xfId="0" applyFont="1" applyFill="1" applyBorder="1" applyAlignment="1">
      <alignment vertical="center"/>
    </xf>
    <xf numFmtId="9" fontId="15" fillId="11" borderId="2" xfId="0" applyNumberFormat="1" applyFont="1" applyFill="1" applyBorder="1" applyAlignment="1">
      <alignment horizontal="left" vertical="center" wrapText="1"/>
    </xf>
    <xf numFmtId="2" fontId="15" fillId="11" borderId="2" xfId="0" applyNumberFormat="1" applyFont="1" applyFill="1" applyBorder="1" applyAlignment="1">
      <alignment horizontal="left" vertical="center" wrapText="1"/>
    </xf>
    <xf numFmtId="167" fontId="15" fillId="11" borderId="19" xfId="0" applyNumberFormat="1" applyFont="1" applyFill="1" applyBorder="1" applyAlignment="1">
      <alignment horizontal="center" vertical="center"/>
    </xf>
    <xf numFmtId="0" fontId="0" fillId="11" borderId="2" xfId="0" applyFill="1" applyBorder="1" applyAlignment="1">
      <alignment horizontal="left" vertical="center" wrapText="1"/>
    </xf>
    <xf numFmtId="167" fontId="15" fillId="11" borderId="3" xfId="0" applyNumberFormat="1" applyFont="1" applyFill="1" applyBorder="1" applyAlignment="1">
      <alignment horizontal="center" vertical="center"/>
    </xf>
    <xf numFmtId="0" fontId="0" fillId="2" borderId="24" xfId="0" applyFill="1" applyBorder="1" applyAlignment="1">
      <alignment horizontal="left" vertical="top" wrapText="1"/>
    </xf>
    <xf numFmtId="2" fontId="0" fillId="6" borderId="26" xfId="0" applyNumberFormat="1" applyFill="1" applyBorder="1" applyAlignment="1" applyProtection="1">
      <alignment horizontal="center" vertical="center"/>
      <protection locked="0"/>
    </xf>
    <xf numFmtId="0" fontId="0" fillId="2" borderId="21" xfId="0" applyFill="1" applyBorder="1" applyAlignment="1">
      <alignment horizontal="left" vertical="center"/>
    </xf>
    <xf numFmtId="0" fontId="15" fillId="11" borderId="21" xfId="0" applyFont="1" applyFill="1" applyBorder="1" applyAlignment="1">
      <alignment horizontal="left" vertical="top"/>
    </xf>
    <xf numFmtId="2" fontId="15" fillId="11" borderId="26" xfId="0" applyNumberFormat="1" applyFont="1" applyFill="1" applyBorder="1" applyAlignment="1" applyProtection="1">
      <alignment horizontal="center" vertical="center"/>
      <protection locked="0"/>
    </xf>
    <xf numFmtId="2" fontId="15" fillId="11" borderId="24" xfId="0" applyNumberFormat="1" applyFont="1" applyFill="1" applyBorder="1" applyAlignment="1">
      <alignment horizontal="left" vertical="top"/>
    </xf>
    <xf numFmtId="0" fontId="15" fillId="11" borderId="2" xfId="0" applyFont="1" applyFill="1" applyBorder="1" applyAlignment="1">
      <alignment horizontal="left" vertical="center" wrapText="1"/>
    </xf>
    <xf numFmtId="0" fontId="5" fillId="8" borderId="0" xfId="0" applyFont="1" applyFill="1" applyAlignment="1">
      <alignment vertical="center"/>
    </xf>
    <xf numFmtId="0" fontId="5" fillId="3" borderId="0" xfId="0" quotePrefix="1" applyFont="1" applyFill="1" applyAlignment="1">
      <alignment horizontal="center" vertical="center"/>
    </xf>
    <xf numFmtId="0" fontId="16" fillId="2" borderId="0" xfId="0" applyFont="1" applyFill="1" applyAlignment="1">
      <alignment horizontal="center" vertical="center"/>
    </xf>
    <xf numFmtId="0" fontId="16" fillId="12" borderId="0" xfId="0" applyFont="1" applyFill="1" applyAlignment="1">
      <alignment vertical="center"/>
    </xf>
    <xf numFmtId="0" fontId="0" fillId="2" borderId="0" xfId="0" applyFill="1" applyAlignment="1">
      <alignment horizontal="left" vertical="center"/>
    </xf>
    <xf numFmtId="0" fontId="17" fillId="2" borderId="0" xfId="0" applyFont="1" applyFill="1" applyAlignment="1">
      <alignment horizontal="center" vertical="center"/>
    </xf>
    <xf numFmtId="0" fontId="17" fillId="2" borderId="0" xfId="0" applyFont="1" applyFill="1" applyAlignment="1">
      <alignment horizontal="center" vertical="center"/>
    </xf>
    <xf numFmtId="0" fontId="0" fillId="11" borderId="6" xfId="0" applyFill="1" applyBorder="1" applyAlignment="1">
      <alignment horizontal="center" vertical="center"/>
    </xf>
    <xf numFmtId="0" fontId="0" fillId="11" borderId="2" xfId="0" applyFill="1" applyBorder="1" applyAlignment="1">
      <alignment vertical="top"/>
    </xf>
    <xf numFmtId="0" fontId="0" fillId="2" borderId="6" xfId="0" applyFill="1" applyBorder="1" applyAlignment="1">
      <alignment horizontal="center" vertical="center"/>
    </xf>
    <xf numFmtId="2" fontId="0" fillId="5" borderId="26" xfId="0" applyNumberFormat="1" applyFill="1" applyBorder="1" applyAlignment="1">
      <alignment horizontal="center" vertical="center"/>
    </xf>
    <xf numFmtId="0" fontId="17" fillId="2" borderId="7" xfId="0" applyFont="1" applyFill="1" applyBorder="1" applyAlignment="1">
      <alignment vertical="center" wrapText="1"/>
    </xf>
    <xf numFmtId="2" fontId="0" fillId="2" borderId="19" xfId="0" applyNumberFormat="1" applyFill="1" applyBorder="1" applyAlignment="1" applyProtection="1">
      <alignment horizontal="center" vertical="center"/>
      <protection locked="0"/>
    </xf>
    <xf numFmtId="2" fontId="0" fillId="5" borderId="28" xfId="0" applyNumberFormat="1" applyFill="1" applyBorder="1" applyAlignment="1">
      <alignment horizontal="center" vertical="center"/>
    </xf>
    <xf numFmtId="2" fontId="0" fillId="11" borderId="15" xfId="0" applyNumberFormat="1" applyFill="1" applyBorder="1" applyAlignment="1">
      <alignment horizontal="center" vertical="center"/>
    </xf>
    <xf numFmtId="2" fontId="0" fillId="2" borderId="7" xfId="0" applyNumberFormat="1" applyFill="1" applyBorder="1" applyAlignment="1" applyProtection="1">
      <alignment horizontal="center" vertical="center"/>
      <protection locked="0"/>
    </xf>
    <xf numFmtId="2" fontId="0" fillId="5" borderId="26" xfId="0" applyNumberFormat="1" applyFill="1" applyBorder="1" applyAlignment="1">
      <alignment horizontal="center" vertical="center"/>
    </xf>
    <xf numFmtId="165" fontId="0" fillId="6" borderId="15" xfId="0" applyNumberFormat="1" applyFill="1" applyBorder="1" applyAlignment="1">
      <alignment horizontal="center" vertical="center"/>
    </xf>
    <xf numFmtId="2" fontId="0" fillId="11" borderId="1" xfId="0" applyNumberFormat="1" applyFill="1" applyBorder="1" applyAlignment="1" applyProtection="1">
      <alignment horizontal="center" vertical="center"/>
      <protection locked="0"/>
    </xf>
    <xf numFmtId="165" fontId="0" fillId="11" borderId="15" xfId="0" applyNumberFormat="1" applyFill="1" applyBorder="1" applyAlignment="1">
      <alignment horizontal="center" vertical="center"/>
    </xf>
    <xf numFmtId="2" fontId="0" fillId="5" borderId="3" xfId="0" applyNumberFormat="1" applyFill="1" applyBorder="1" applyAlignment="1">
      <alignment horizontal="center" vertical="center"/>
    </xf>
    <xf numFmtId="2" fontId="0" fillId="5" borderId="4" xfId="0" applyNumberFormat="1" applyFill="1" applyBorder="1" applyAlignment="1">
      <alignment horizontal="center" vertical="center"/>
    </xf>
    <xf numFmtId="2" fontId="15" fillId="11" borderId="19" xfId="0" applyNumberFormat="1" applyFont="1" applyFill="1" applyBorder="1" applyAlignment="1">
      <alignment horizontal="center" vertical="center"/>
    </xf>
    <xf numFmtId="2" fontId="0" fillId="11" borderId="1" xfId="0" applyNumberFormat="1" applyFill="1" applyBorder="1" applyAlignment="1" applyProtection="1">
      <alignment horizontal="center" vertical="center"/>
      <protection locked="0"/>
    </xf>
    <xf numFmtId="1" fontId="0" fillId="11" borderId="15" xfId="0" applyNumberFormat="1" applyFill="1" applyBorder="1" applyAlignment="1">
      <alignment horizontal="center" vertical="center"/>
    </xf>
    <xf numFmtId="0" fontId="15" fillId="11" borderId="6" xfId="0" applyFont="1" applyFill="1" applyBorder="1" applyAlignment="1">
      <alignment horizontal="right" vertical="center" wrapText="1"/>
    </xf>
    <xf numFmtId="9" fontId="15" fillId="11" borderId="16" xfId="0" applyNumberFormat="1" applyFont="1" applyFill="1" applyBorder="1" applyAlignment="1">
      <alignment horizontal="left" vertical="center" wrapText="1"/>
    </xf>
    <xf numFmtId="0" fontId="0" fillId="2" borderId="1" xfId="0" applyFill="1" applyBorder="1" applyAlignment="1">
      <alignment horizontal="center" vertical="center"/>
    </xf>
    <xf numFmtId="0" fontId="0" fillId="2" borderId="6" xfId="0" applyFill="1" applyBorder="1" applyAlignment="1">
      <alignment horizontal="left" vertical="top"/>
    </xf>
    <xf numFmtId="0" fontId="0" fillId="2" borderId="16" xfId="0" applyFill="1" applyBorder="1" applyAlignment="1">
      <alignment horizontal="left" vertical="top"/>
    </xf>
    <xf numFmtId="0" fontId="0" fillId="11" borderId="21" xfId="0" applyFill="1" applyBorder="1" applyAlignment="1">
      <alignment horizontal="left" vertical="center" wrapText="1"/>
    </xf>
    <xf numFmtId="0" fontId="0" fillId="11" borderId="24" xfId="0" applyFill="1" applyBorder="1" applyAlignment="1">
      <alignment horizontal="left" vertical="center" wrapText="1"/>
    </xf>
    <xf numFmtId="9" fontId="15" fillId="11" borderId="2" xfId="0" applyNumberFormat="1" applyFont="1" applyFill="1" applyBorder="1" applyAlignment="1">
      <alignment horizontal="left" vertical="center"/>
    </xf>
    <xf numFmtId="1" fontId="15" fillId="11" borderId="19" xfId="0" applyNumberFormat="1" applyFont="1" applyFill="1" applyBorder="1" applyAlignment="1">
      <alignment horizontal="center" vertical="center"/>
    </xf>
    <xf numFmtId="1" fontId="0" fillId="11" borderId="19" xfId="0" applyNumberFormat="1" applyFill="1" applyBorder="1" applyAlignment="1">
      <alignment horizontal="center" vertical="center"/>
    </xf>
    <xf numFmtId="2" fontId="0" fillId="11" borderId="4" xfId="0" applyNumberFormat="1" applyFill="1" applyBorder="1" applyAlignment="1">
      <alignment horizontal="center" vertical="center"/>
    </xf>
    <xf numFmtId="0" fontId="0" fillId="8" borderId="6" xfId="0" applyFill="1" applyBorder="1" applyAlignment="1">
      <alignment horizontal="center" vertical="center" wrapText="1"/>
    </xf>
    <xf numFmtId="0" fontId="0" fillId="8" borderId="2" xfId="0" applyFill="1" applyBorder="1" applyAlignment="1">
      <alignment vertical="top" wrapText="1"/>
    </xf>
    <xf numFmtId="1" fontId="0" fillId="8" borderId="7" xfId="0" applyNumberFormat="1" applyFill="1" applyBorder="1" applyAlignment="1" applyProtection="1">
      <alignment horizontal="center" vertical="center"/>
      <protection locked="0"/>
    </xf>
    <xf numFmtId="0" fontId="0" fillId="4" borderId="29" xfId="0" applyFill="1" applyBorder="1" applyAlignment="1" applyProtection="1">
      <alignment horizontal="left" vertical="top" wrapText="1"/>
      <protection locked="0"/>
    </xf>
    <xf numFmtId="0" fontId="15" fillId="11" borderId="2" xfId="0" applyFont="1" applyFill="1" applyBorder="1" applyAlignment="1">
      <alignment horizontal="left" vertical="center" wrapText="1"/>
    </xf>
    <xf numFmtId="1" fontId="15" fillId="11" borderId="2" xfId="0" applyNumberFormat="1" applyFont="1" applyFill="1" applyBorder="1" applyAlignment="1">
      <alignment horizontal="left" vertical="center"/>
    </xf>
    <xf numFmtId="2" fontId="0" fillId="11" borderId="3" xfId="0" applyNumberFormat="1" applyFill="1" applyBorder="1" applyAlignment="1">
      <alignment horizontal="center" vertical="center"/>
    </xf>
    <xf numFmtId="2" fontId="0" fillId="5" borderId="30" xfId="0" applyNumberFormat="1" applyFill="1" applyBorder="1" applyAlignment="1">
      <alignment horizontal="center" vertical="center"/>
    </xf>
    <xf numFmtId="0" fontId="0" fillId="2" borderId="0" xfId="0" applyFill="1" applyAlignment="1">
      <alignment horizontal="left" vertical="center"/>
    </xf>
    <xf numFmtId="0" fontId="0" fillId="2" borderId="0" xfId="0" applyFill="1" applyAlignment="1" applyProtection="1">
      <alignment vertical="top" wrapText="1"/>
      <protection locked="0"/>
    </xf>
    <xf numFmtId="0" fontId="18" fillId="2" borderId="2" xfId="0" applyFont="1" applyFill="1" applyBorder="1" applyAlignment="1">
      <alignment horizontal="left" vertical="top" wrapText="1"/>
    </xf>
    <xf numFmtId="0" fontId="19" fillId="2" borderId="2" xfId="0" applyFont="1" applyFill="1" applyBorder="1" applyAlignment="1">
      <alignment vertical="top" wrapText="1"/>
    </xf>
    <xf numFmtId="0" fontId="19"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2" xfId="0" applyFont="1" applyFill="1" applyBorder="1" applyAlignment="1">
      <alignment vertical="top" wrapText="1"/>
    </xf>
    <xf numFmtId="0" fontId="19" fillId="5" borderId="2" xfId="0" applyFont="1" applyFill="1" applyBorder="1" applyAlignment="1">
      <alignment horizontal="left" vertical="top" wrapText="1"/>
    </xf>
    <xf numFmtId="0" fontId="18" fillId="8" borderId="2" xfId="0" applyFont="1" applyFill="1" applyBorder="1" applyAlignment="1">
      <alignment horizontal="left" vertical="top" wrapText="1"/>
    </xf>
    <xf numFmtId="0" fontId="18" fillId="8" borderId="2" xfId="0" applyFont="1" applyFill="1" applyBorder="1" applyAlignment="1">
      <alignment horizontal="left" vertical="top" wrapText="1"/>
    </xf>
    <xf numFmtId="0" fontId="0" fillId="2" borderId="0" xfId="0" applyFill="1"/>
    <xf numFmtId="0" fontId="17" fillId="2" borderId="0" xfId="0" applyFont="1" applyFill="1" applyAlignment="1">
      <alignment vertical="center"/>
    </xf>
    <xf numFmtId="0" fontId="17" fillId="2" borderId="0" xfId="0" applyFont="1" applyFill="1" applyAlignment="1">
      <alignment horizontal="center" vertical="center"/>
    </xf>
    <xf numFmtId="0" fontId="0" fillId="2" borderId="0" xfId="0" applyFill="1" applyAlignment="1">
      <alignment wrapText="1"/>
    </xf>
    <xf numFmtId="0" fontId="0" fillId="2" borderId="0" xfId="0" applyFill="1" applyAlignment="1">
      <alignment horizontal="left" vertical="center"/>
    </xf>
    <xf numFmtId="0" fontId="0" fillId="2" borderId="0" xfId="0" applyFill="1" applyAlignment="1">
      <alignment horizontal="center"/>
    </xf>
    <xf numFmtId="0" fontId="0" fillId="2" borderId="0" xfId="0" applyFill="1" applyAlignment="1" applyProtection="1">
      <alignment wrapText="1"/>
      <protection locked="0"/>
    </xf>
    <xf numFmtId="0" fontId="0" fillId="2" borderId="0" xfId="0" applyFill="1" applyAlignment="1" applyProtection="1">
      <alignment horizontal="center" vertical="center"/>
      <protection locked="0"/>
    </xf>
    <xf numFmtId="0" fontId="0" fillId="2" borderId="0" xfId="0" applyFill="1" applyAlignment="1">
      <alignment vertical="top"/>
    </xf>
    <xf numFmtId="0" fontId="0" fillId="2" borderId="0" xfId="0" applyFill="1" applyAlignment="1" applyProtection="1">
      <alignment vertical="top"/>
      <protection locked="0"/>
    </xf>
    <xf numFmtId="0" fontId="0" fillId="2" borderId="0" xfId="0" applyFill="1" applyAlignment="1">
      <alignment vertical="center"/>
    </xf>
    <xf numFmtId="168" fontId="0" fillId="2" borderId="0" xfId="0" applyNumberFormat="1" applyFill="1" applyAlignment="1" applyProtection="1">
      <alignment horizontal="left" vertical="top" wrapText="1"/>
      <protection locked="0"/>
    </xf>
    <xf numFmtId="0" fontId="0" fillId="2" borderId="0" xfId="0" applyFill="1" applyAlignment="1" applyProtection="1">
      <alignment horizontal="center"/>
      <protection locked="0"/>
    </xf>
    <xf numFmtId="0" fontId="20" fillId="13" borderId="2" xfId="0" applyFont="1" applyFill="1" applyBorder="1" applyAlignment="1">
      <alignment horizontal="center" vertical="center" wrapText="1"/>
    </xf>
    <xf numFmtId="0" fontId="21" fillId="2" borderId="0" xfId="0" applyFont="1" applyFill="1"/>
    <xf numFmtId="0" fontId="19" fillId="2" borderId="2" xfId="0" applyFont="1" applyFill="1" applyBorder="1" applyAlignment="1">
      <alignment horizontal="center" vertical="top"/>
    </xf>
    <xf numFmtId="0" fontId="19" fillId="2" borderId="2" xfId="0" applyFont="1" applyFill="1" applyBorder="1" applyAlignment="1">
      <alignment horizontal="left" vertical="top"/>
    </xf>
    <xf numFmtId="2" fontId="19" fillId="2" borderId="2" xfId="0" applyNumberFormat="1" applyFont="1" applyFill="1" applyBorder="1" applyAlignment="1">
      <alignment horizontal="center" vertical="top"/>
    </xf>
    <xf numFmtId="2" fontId="19" fillId="2" borderId="0" xfId="0" applyNumberFormat="1" applyFont="1" applyFill="1"/>
    <xf numFmtId="2" fontId="19" fillId="2" borderId="2" xfId="0" applyNumberFormat="1" applyFont="1" applyFill="1" applyBorder="1" applyAlignment="1">
      <alignment horizontal="center" vertical="top"/>
    </xf>
    <xf numFmtId="0" fontId="19" fillId="2" borderId="0" xfId="0" applyFont="1" applyFill="1"/>
    <xf numFmtId="0" fontId="19" fillId="2" borderId="2" xfId="0" applyFont="1" applyFill="1" applyBorder="1" applyAlignment="1">
      <alignment horizontal="center" vertical="top"/>
    </xf>
    <xf numFmtId="0" fontId="19" fillId="2" borderId="2" xfId="0" applyFont="1" applyFill="1" applyBorder="1" applyAlignment="1">
      <alignment horizontal="left" vertical="top"/>
    </xf>
    <xf numFmtId="2" fontId="19" fillId="2" borderId="2" xfId="0" applyNumberFormat="1" applyFont="1" applyFill="1" applyBorder="1" applyAlignment="1">
      <alignment horizontal="center" vertical="top"/>
    </xf>
    <xf numFmtId="0" fontId="19" fillId="2" borderId="2" xfId="0" applyFont="1" applyFill="1" applyBorder="1" applyAlignment="1">
      <alignment horizontal="left" vertical="top"/>
    </xf>
    <xf numFmtId="2" fontId="19" fillId="2" borderId="2" xfId="0" applyNumberFormat="1" applyFont="1" applyFill="1" applyBorder="1" applyAlignment="1" applyProtection="1">
      <alignment horizontal="center" vertical="top"/>
      <protection locked="0"/>
    </xf>
    <xf numFmtId="2" fontId="19" fillId="2" borderId="2" xfId="0" applyNumberFormat="1" applyFont="1" applyFill="1" applyBorder="1" applyAlignment="1" applyProtection="1">
      <alignment horizontal="center" vertical="top"/>
      <protection locked="0"/>
    </xf>
    <xf numFmtId="0" fontId="19" fillId="2" borderId="2" xfId="0" applyFont="1" applyFill="1" applyBorder="1" applyAlignment="1" applyProtection="1">
      <alignment horizontal="left" vertical="top"/>
      <protection locked="0"/>
    </xf>
    <xf numFmtId="0" fontId="19" fillId="2" borderId="2" xfId="0" applyFont="1" applyFill="1" applyBorder="1" applyAlignment="1" applyProtection="1">
      <alignment horizontal="left" vertical="top"/>
      <protection locked="0"/>
    </xf>
    <xf numFmtId="0" fontId="0" fillId="2" borderId="0" xfId="0" applyFill="1" applyAlignment="1">
      <alignment horizontal="center"/>
    </xf>
    <xf numFmtId="0" fontId="0" fillId="2" borderId="0" xfId="0" applyFill="1" applyAlignment="1">
      <alignment horizontal="left" vertical="top" wrapText="1"/>
    </xf>
    <xf numFmtId="0" fontId="0" fillId="2" borderId="0" xfId="0" applyFill="1" applyAlignment="1">
      <alignment horizontal="center" vertical="center"/>
    </xf>
    <xf numFmtId="0" fontId="0" fillId="2" borderId="0" xfId="0" applyFill="1" applyAlignment="1" applyProtection="1">
      <alignment horizontal="left" vertical="top" wrapText="1"/>
      <protection locked="0"/>
    </xf>
    <xf numFmtId="0" fontId="0" fillId="2" borderId="0" xfId="0" applyFill="1" applyAlignment="1" applyProtection="1">
      <alignment horizontal="center" vertical="top" wrapText="1"/>
      <protection locked="0"/>
    </xf>
    <xf numFmtId="0" fontId="0" fillId="2" borderId="0" xfId="0" applyFill="1" applyAlignment="1">
      <alignment horizontal="center" vertical="top" wrapText="1"/>
    </xf>
    <xf numFmtId="0" fontId="15" fillId="11" borderId="2" xfId="0" applyFont="1" applyFill="1" applyBorder="1" applyAlignment="1">
      <alignment horizontal="left" vertical="center" wrapText="1"/>
    </xf>
    <xf numFmtId="0" fontId="22" fillId="3" borderId="0" xfId="0" applyFont="1" applyFill="1" applyAlignment="1">
      <alignment vertical="center" wrapText="1"/>
    </xf>
    <xf numFmtId="0" fontId="23" fillId="3" borderId="0" xfId="0" applyFont="1" applyFill="1" applyAlignment="1">
      <alignment vertical="center" wrapText="1"/>
    </xf>
    <xf numFmtId="0" fontId="22" fillId="3" borderId="0" xfId="0" applyFont="1" applyFill="1" applyAlignment="1">
      <alignment horizontal="center" vertical="center" wrapText="1"/>
    </xf>
    <xf numFmtId="164" fontId="0" fillId="6" borderId="15" xfId="0" applyNumberFormat="1" applyFill="1" applyBorder="1" applyAlignment="1">
      <alignment horizontal="right" vertical="center"/>
    </xf>
    <xf numFmtId="0" fontId="0" fillId="5" borderId="15" xfId="0" applyFill="1" applyBorder="1" applyAlignment="1">
      <alignment horizontal="right" vertical="center"/>
    </xf>
    <xf numFmtId="0" fontId="0" fillId="5" borderId="15" xfId="0" applyFill="1" applyBorder="1" applyAlignment="1">
      <alignment horizontal="center" vertical="center"/>
    </xf>
    <xf numFmtId="0" fontId="0" fillId="5" borderId="3" xfId="0" applyFill="1" applyBorder="1" applyAlignment="1">
      <alignment horizontal="center" vertical="center"/>
    </xf>
    <xf numFmtId="0" fontId="0" fillId="5" borderId="15" xfId="0" applyFill="1" applyBorder="1" applyAlignment="1">
      <alignment horizontal="center" vertical="center"/>
    </xf>
    <xf numFmtId="0" fontId="0" fillId="5" borderId="3" xfId="0" applyFill="1" applyBorder="1" applyAlignment="1" applyProtection="1">
      <alignment horizontal="center" vertical="center"/>
      <protection locked="0"/>
    </xf>
    <xf numFmtId="0" fontId="0" fillId="5" borderId="15" xfId="0" applyFill="1" applyBorder="1" applyAlignment="1">
      <alignment horizontal="center" vertical="center"/>
    </xf>
    <xf numFmtId="0" fontId="0" fillId="5" borderId="8" xfId="0" applyFill="1" applyBorder="1" applyAlignment="1">
      <alignment horizontal="center" vertical="center"/>
    </xf>
    <xf numFmtId="0" fontId="0" fillId="18" borderId="0" xfId="0" applyFill="1" applyAlignment="1">
      <alignment horizontal="left"/>
    </xf>
    <xf numFmtId="0" fontId="33" fillId="4" borderId="29" xfId="0" applyFont="1" applyFill="1" applyBorder="1" applyAlignment="1" applyProtection="1">
      <alignment horizontal="left" vertical="top" wrapText="1"/>
      <protection locked="0"/>
    </xf>
    <xf numFmtId="0" fontId="5" fillId="3" borderId="0" xfId="0" applyFont="1" applyFill="1" applyAlignment="1">
      <alignment horizontal="center" vertical="center"/>
    </xf>
    <xf numFmtId="0" fontId="11" fillId="3" borderId="0" xfId="0" applyFont="1" applyFill="1" applyAlignment="1">
      <alignment horizontal="center" vertical="center"/>
    </xf>
    <xf numFmtId="0" fontId="5" fillId="8" borderId="0" xfId="0" applyFont="1" applyFill="1" applyAlignment="1">
      <alignment horizontal="left" vertical="center"/>
    </xf>
    <xf numFmtId="168" fontId="5" fillId="8" borderId="0" xfId="0" applyNumberFormat="1" applyFont="1" applyFill="1" applyAlignment="1">
      <alignment horizontal="left" vertical="center"/>
    </xf>
    <xf numFmtId="0" fontId="24" fillId="14" borderId="0" xfId="0" applyFont="1" applyFill="1" applyAlignment="1">
      <alignment horizontal="center" vertical="center"/>
    </xf>
    <xf numFmtId="0" fontId="24" fillId="15" borderId="0" xfId="0" applyFont="1" applyFill="1" applyAlignment="1">
      <alignment horizontal="center" vertical="center"/>
    </xf>
    <xf numFmtId="0" fontId="5" fillId="8" borderId="0" xfId="0" applyFont="1" applyFill="1" applyAlignment="1">
      <alignment horizontal="left" vertical="center" wrapText="1"/>
    </xf>
    <xf numFmtId="0" fontId="24" fillId="16" borderId="0" xfId="0" applyFont="1" applyFill="1" applyAlignment="1">
      <alignment horizontal="center" vertical="center"/>
    </xf>
    <xf numFmtId="0" fontId="0" fillId="2" borderId="33" xfId="0" applyFill="1" applyBorder="1" applyAlignment="1">
      <alignment horizontal="center" vertical="top"/>
    </xf>
    <xf numFmtId="0" fontId="0" fillId="2" borderId="34" xfId="0" applyFill="1" applyBorder="1" applyAlignment="1">
      <alignment horizontal="center" vertical="top"/>
    </xf>
    <xf numFmtId="0" fontId="0" fillId="2" borderId="35" xfId="0" applyFill="1" applyBorder="1" applyAlignment="1">
      <alignment horizontal="center" vertical="top"/>
    </xf>
    <xf numFmtId="0" fontId="17" fillId="2" borderId="42" xfId="0" applyFont="1" applyFill="1" applyBorder="1" applyAlignment="1">
      <alignment horizontal="left" vertical="center" wrapText="1"/>
    </xf>
    <xf numFmtId="0" fontId="17" fillId="2" borderId="43" xfId="0" applyFont="1" applyFill="1" applyBorder="1" applyAlignment="1">
      <alignment horizontal="left" vertical="center" wrapText="1"/>
    </xf>
    <xf numFmtId="0" fontId="0" fillId="2" borderId="50" xfId="0" applyFill="1" applyBorder="1" applyAlignment="1">
      <alignment horizontal="left" vertical="center" wrapText="1"/>
    </xf>
    <xf numFmtId="0" fontId="0" fillId="2" borderId="51" xfId="0"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0" fillId="2" borderId="31" xfId="0" applyFill="1" applyBorder="1" applyAlignment="1">
      <alignment horizontal="left" vertical="center" wrapText="1"/>
    </xf>
    <xf numFmtId="0" fontId="0" fillId="2" borderId="53" xfId="0" applyFill="1" applyBorder="1" applyAlignment="1">
      <alignment horizontal="left" vertical="center" wrapText="1"/>
    </xf>
    <xf numFmtId="0" fontId="0" fillId="2" borderId="9" xfId="0" applyFill="1" applyBorder="1" applyAlignment="1">
      <alignment horizontal="left" vertical="center" wrapText="1"/>
    </xf>
    <xf numFmtId="0" fontId="19" fillId="2" borderId="22" xfId="0" applyFont="1" applyFill="1" applyBorder="1" applyAlignment="1">
      <alignment horizontal="center" vertical="center" textRotation="90" wrapText="1"/>
    </xf>
    <xf numFmtId="0" fontId="19" fillId="2" borderId="37" xfId="0" applyFont="1" applyFill="1" applyBorder="1" applyAlignment="1">
      <alignment horizontal="center" vertical="center" textRotation="90" wrapText="1"/>
    </xf>
    <xf numFmtId="0" fontId="19" fillId="2" borderId="44" xfId="0" applyFont="1" applyFill="1" applyBorder="1" applyAlignment="1">
      <alignment horizontal="center" vertical="center" textRotation="90" wrapText="1"/>
    </xf>
    <xf numFmtId="0" fontId="0" fillId="2" borderId="31" xfId="0" applyFill="1" applyBorder="1" applyAlignment="1">
      <alignment horizontal="left" vertical="center"/>
    </xf>
    <xf numFmtId="0" fontId="0" fillId="2" borderId="17" xfId="0" applyFill="1" applyBorder="1" applyAlignment="1">
      <alignment horizontal="left" vertical="center"/>
    </xf>
    <xf numFmtId="0" fontId="0" fillId="2" borderId="39" xfId="0" applyFill="1" applyBorder="1" applyAlignment="1">
      <alignment horizontal="center" vertical="top" wrapText="1"/>
    </xf>
    <xf numFmtId="0" fontId="0" fillId="2" borderId="40" xfId="0" applyFill="1" applyBorder="1" applyAlignment="1">
      <alignment horizontal="center" vertical="top" wrapText="1"/>
    </xf>
    <xf numFmtId="0" fontId="0" fillId="2" borderId="37" xfId="0" applyFill="1" applyBorder="1" applyAlignment="1">
      <alignment horizontal="center" vertical="top" wrapText="1"/>
    </xf>
    <xf numFmtId="0" fontId="0" fillId="2" borderId="38" xfId="0" applyFill="1" applyBorder="1" applyAlignment="1">
      <alignment horizontal="center" vertical="top" wrapText="1"/>
    </xf>
    <xf numFmtId="0" fontId="17" fillId="9" borderId="41" xfId="0" applyFont="1" applyFill="1" applyBorder="1" applyAlignment="1">
      <alignment horizontal="left" vertical="center" wrapText="1"/>
    </xf>
    <xf numFmtId="0" fontId="17" fillId="9" borderId="32" xfId="0" applyFont="1" applyFill="1" applyBorder="1" applyAlignment="1">
      <alignment horizontal="left" vertical="center" wrapText="1"/>
    </xf>
    <xf numFmtId="0" fontId="0" fillId="9" borderId="27" xfId="0" applyFill="1" applyBorder="1" applyAlignment="1">
      <alignment horizontal="left" vertical="center" wrapText="1"/>
    </xf>
    <xf numFmtId="0" fontId="0" fillId="9" borderId="16" xfId="0" applyFill="1" applyBorder="1" applyAlignment="1">
      <alignment horizontal="left" vertical="center" wrapText="1"/>
    </xf>
    <xf numFmtId="0" fontId="0" fillId="2" borderId="6" xfId="0" applyFill="1" applyBorder="1" applyAlignment="1">
      <alignment horizontal="left" vertical="center" wrapText="1"/>
    </xf>
    <xf numFmtId="0" fontId="0" fillId="2" borderId="16" xfId="0" applyFill="1" applyBorder="1" applyAlignment="1">
      <alignment horizontal="left" vertical="center" wrapText="1"/>
    </xf>
    <xf numFmtId="0" fontId="0" fillId="11" borderId="36" xfId="0" applyFill="1" applyBorder="1" applyAlignment="1">
      <alignment horizontal="center" vertical="top" wrapText="1"/>
    </xf>
    <xf numFmtId="0" fontId="0" fillId="11" borderId="37" xfId="0" applyFill="1" applyBorder="1" applyAlignment="1">
      <alignment horizontal="center" vertical="top" wrapText="1"/>
    </xf>
    <xf numFmtId="0" fontId="0" fillId="11" borderId="38" xfId="0" applyFill="1" applyBorder="1" applyAlignment="1">
      <alignment horizontal="center" vertical="top" wrapText="1"/>
    </xf>
    <xf numFmtId="0" fontId="0" fillId="11" borderId="32" xfId="0" applyFill="1" applyBorder="1" applyAlignment="1">
      <alignment horizontal="left" vertical="center" wrapText="1"/>
    </xf>
    <xf numFmtId="0" fontId="0" fillId="11" borderId="6" xfId="0" applyFill="1" applyBorder="1" applyAlignment="1">
      <alignment horizontal="left" vertical="center" wrapText="1"/>
    </xf>
    <xf numFmtId="0" fontId="0" fillId="11" borderId="16" xfId="0" applyFill="1" applyBorder="1" applyAlignment="1">
      <alignment horizontal="left" vertical="center" wrapText="1"/>
    </xf>
    <xf numFmtId="0" fontId="0" fillId="11" borderId="31" xfId="0" applyFill="1" applyBorder="1" applyAlignment="1">
      <alignment horizontal="left" vertical="center" wrapText="1"/>
    </xf>
    <xf numFmtId="0" fontId="0" fillId="11" borderId="17" xfId="0" applyFill="1" applyBorder="1" applyAlignment="1">
      <alignment horizontal="left" vertical="center" wrapText="1"/>
    </xf>
    <xf numFmtId="0" fontId="0" fillId="11" borderId="33" xfId="0" applyFill="1" applyBorder="1" applyAlignment="1">
      <alignment horizontal="center" vertical="top"/>
    </xf>
    <xf numFmtId="0" fontId="0" fillId="11" borderId="34" xfId="0" applyFill="1" applyBorder="1" applyAlignment="1">
      <alignment horizontal="center" vertical="top"/>
    </xf>
    <xf numFmtId="0" fontId="0" fillId="11" borderId="35" xfId="0" applyFill="1" applyBorder="1" applyAlignment="1">
      <alignment horizontal="center" vertical="top"/>
    </xf>
    <xf numFmtId="0" fontId="15" fillId="11" borderId="32" xfId="0" applyFont="1" applyFill="1" applyBorder="1" applyAlignment="1">
      <alignment horizontal="left" vertical="center" wrapText="1"/>
    </xf>
    <xf numFmtId="0" fontId="15" fillId="11" borderId="6" xfId="0" applyFont="1" applyFill="1" applyBorder="1" applyAlignment="1">
      <alignment horizontal="left" vertical="center" wrapText="1"/>
    </xf>
    <xf numFmtId="0" fontId="15" fillId="11" borderId="16" xfId="0" applyFont="1" applyFill="1" applyBorder="1" applyAlignment="1">
      <alignment horizontal="left" vertical="center" wrapText="1"/>
    </xf>
    <xf numFmtId="0" fontId="15" fillId="11" borderId="31" xfId="0" applyFont="1" applyFill="1" applyBorder="1" applyAlignment="1">
      <alignment horizontal="left" vertical="center" wrapText="1"/>
    </xf>
    <xf numFmtId="0" fontId="15" fillId="11" borderId="17" xfId="0" applyFont="1" applyFill="1" applyBorder="1" applyAlignment="1">
      <alignment horizontal="left" vertical="center" wrapText="1"/>
    </xf>
    <xf numFmtId="0" fontId="17" fillId="2" borderId="36" xfId="0" applyFont="1" applyFill="1" applyBorder="1" applyAlignment="1">
      <alignment horizontal="center" vertical="top" wrapText="1"/>
    </xf>
    <xf numFmtId="0" fontId="17" fillId="2" borderId="37" xfId="0" applyFont="1" applyFill="1" applyBorder="1" applyAlignment="1">
      <alignment horizontal="center" vertical="top" wrapText="1"/>
    </xf>
    <xf numFmtId="0" fontId="17" fillId="2" borderId="38" xfId="0" applyFont="1" applyFill="1" applyBorder="1" applyAlignment="1">
      <alignment horizontal="center" vertical="top" wrapText="1"/>
    </xf>
    <xf numFmtId="0" fontId="0" fillId="2" borderId="42" xfId="0" applyFill="1" applyBorder="1" applyAlignment="1">
      <alignment horizontal="left" vertical="center" wrapText="1"/>
    </xf>
    <xf numFmtId="0" fontId="0" fillId="2" borderId="43" xfId="0" applyFill="1" applyBorder="1" applyAlignment="1">
      <alignment horizontal="left" vertical="center" wrapText="1"/>
    </xf>
    <xf numFmtId="0" fontId="0" fillId="2" borderId="36" xfId="0" applyFill="1" applyBorder="1" applyAlignment="1">
      <alignment horizontal="center" vertical="top" wrapText="1"/>
    </xf>
    <xf numFmtId="0" fontId="0" fillId="2" borderId="32" xfId="0" applyFill="1" applyBorder="1" applyAlignment="1">
      <alignment horizontal="left" vertical="center" wrapText="1"/>
    </xf>
    <xf numFmtId="0" fontId="0" fillId="2" borderId="17" xfId="0" applyFill="1" applyBorder="1" applyAlignment="1">
      <alignment horizontal="left" vertical="center" wrapText="1"/>
    </xf>
    <xf numFmtId="0" fontId="0" fillId="2" borderId="47" xfId="0" applyFill="1" applyBorder="1" applyAlignment="1">
      <alignment horizontal="left" vertical="center" wrapText="1"/>
    </xf>
    <xf numFmtId="0" fontId="0" fillId="2" borderId="45" xfId="0" applyFill="1" applyBorder="1" applyAlignment="1">
      <alignment horizontal="left" vertical="center"/>
    </xf>
    <xf numFmtId="0" fontId="0" fillId="2" borderId="46" xfId="0" applyFill="1" applyBorder="1" applyAlignment="1">
      <alignment horizontal="left" vertical="center" wrapText="1"/>
    </xf>
    <xf numFmtId="0" fontId="0" fillId="2" borderId="6" xfId="0" applyFill="1" applyBorder="1" applyAlignment="1">
      <alignment horizontal="left" vertical="top" wrapText="1"/>
    </xf>
    <xf numFmtId="0" fontId="0" fillId="2" borderId="16" xfId="0" applyFill="1" applyBorder="1" applyAlignment="1">
      <alignment horizontal="left" vertical="top" wrapText="1"/>
    </xf>
    <xf numFmtId="0" fontId="0" fillId="2" borderId="44" xfId="0" applyFill="1" applyBorder="1" applyAlignment="1">
      <alignment horizontal="left" vertical="center" wrapText="1"/>
    </xf>
    <xf numFmtId="0" fontId="0" fillId="8" borderId="6" xfId="0" applyFill="1" applyBorder="1" applyAlignment="1">
      <alignment horizontal="left" vertical="center" wrapText="1"/>
    </xf>
    <xf numFmtId="0" fontId="0" fillId="8" borderId="47" xfId="0" applyFill="1" applyBorder="1" applyAlignment="1">
      <alignment horizontal="left" vertical="center" wrapText="1"/>
    </xf>
    <xf numFmtId="0" fontId="15" fillId="11" borderId="2" xfId="0" applyFont="1" applyFill="1" applyBorder="1" applyAlignment="1">
      <alignment horizontal="left" vertical="center" wrapText="1"/>
    </xf>
    <xf numFmtId="0" fontId="0" fillId="2" borderId="38" xfId="0" applyFill="1" applyBorder="1" applyAlignment="1">
      <alignment horizontal="center" vertical="top"/>
    </xf>
    <xf numFmtId="0" fontId="0" fillId="2" borderId="2" xfId="0" applyFill="1" applyBorder="1" applyAlignment="1">
      <alignment horizontal="left" vertical="center" wrapText="1"/>
    </xf>
    <xf numFmtId="0" fontId="0" fillId="2" borderId="21" xfId="0" applyFill="1" applyBorder="1" applyAlignment="1">
      <alignment horizontal="left" vertical="center" wrapText="1"/>
    </xf>
    <xf numFmtId="0" fontId="0" fillId="2" borderId="24" xfId="0" applyFill="1" applyBorder="1" applyAlignment="1">
      <alignment horizontal="left" vertical="center" wrapText="1"/>
    </xf>
    <xf numFmtId="0" fontId="0" fillId="2" borderId="39" xfId="0" applyFill="1" applyBorder="1" applyAlignment="1">
      <alignment horizontal="left" vertical="center" wrapText="1"/>
    </xf>
    <xf numFmtId="0" fontId="0" fillId="2" borderId="49" xfId="0" applyFill="1" applyBorder="1" applyAlignment="1">
      <alignment horizontal="left" vertical="center"/>
    </xf>
    <xf numFmtId="0" fontId="0" fillId="2" borderId="38" xfId="0" applyFill="1" applyBorder="1" applyAlignment="1">
      <alignment horizontal="left" vertical="center"/>
    </xf>
    <xf numFmtId="0" fontId="0" fillId="2" borderId="36" xfId="0" applyFill="1" applyBorder="1" applyAlignment="1">
      <alignment horizontal="center" vertical="top"/>
    </xf>
    <xf numFmtId="0" fontId="0" fillId="2" borderId="37" xfId="0" applyFill="1" applyBorder="1" applyAlignment="1">
      <alignment horizontal="center" vertical="top"/>
    </xf>
    <xf numFmtId="0" fontId="0" fillId="2" borderId="2" xfId="0" applyFill="1" applyBorder="1" applyAlignment="1">
      <alignment horizontal="left"/>
    </xf>
    <xf numFmtId="0" fontId="0" fillId="2" borderId="6" xfId="0" applyFill="1" applyBorder="1" applyAlignment="1">
      <alignment horizontal="left"/>
    </xf>
    <xf numFmtId="0" fontId="0" fillId="2" borderId="16" xfId="0" applyFill="1" applyBorder="1" applyAlignment="1">
      <alignment horizontal="left"/>
    </xf>
    <xf numFmtId="0" fontId="17" fillId="2" borderId="52" xfId="0" applyFont="1" applyFill="1" applyBorder="1" applyAlignment="1">
      <alignment horizontal="left" vertical="center" wrapText="1"/>
    </xf>
    <xf numFmtId="0" fontId="0" fillId="2" borderId="25" xfId="0" applyFill="1" applyBorder="1" applyAlignment="1">
      <alignment horizontal="left" vertical="center" wrapText="1"/>
    </xf>
    <xf numFmtId="0" fontId="0" fillId="2" borderId="48" xfId="0" applyFill="1" applyBorder="1" applyAlignment="1">
      <alignment horizontal="left" vertical="center" wrapText="1"/>
    </xf>
    <xf numFmtId="0" fontId="0" fillId="2" borderId="45" xfId="0" applyFill="1" applyBorder="1" applyAlignment="1">
      <alignment horizontal="left" vertical="center" wrapText="1"/>
    </xf>
    <xf numFmtId="0" fontId="0" fillId="2" borderId="22" xfId="0" applyFill="1" applyBorder="1" applyAlignment="1">
      <alignment horizontal="left" vertical="center" wrapText="1"/>
    </xf>
    <xf numFmtId="0" fontId="16" fillId="14" borderId="0" xfId="0" applyFont="1" applyFill="1" applyAlignment="1">
      <alignment horizontal="center" vertical="center"/>
    </xf>
    <xf numFmtId="0" fontId="10" fillId="7" borderId="50" xfId="0" applyFont="1" applyFill="1" applyBorder="1" applyAlignment="1">
      <alignment horizontal="center" vertical="center" wrapText="1"/>
    </xf>
    <xf numFmtId="0" fontId="10" fillId="7" borderId="51" xfId="0" applyFont="1" applyFill="1" applyBorder="1" applyAlignment="1">
      <alignment horizontal="center" vertical="center" wrapText="1"/>
    </xf>
    <xf numFmtId="1" fontId="0" fillId="2" borderId="26" xfId="0" applyNumberFormat="1" applyFill="1" applyBorder="1" applyAlignment="1" applyProtection="1">
      <alignment horizontal="center" vertical="center"/>
      <protection locked="0"/>
    </xf>
    <xf numFmtId="1" fontId="0" fillId="2" borderId="8" xfId="0" applyNumberFormat="1" applyFill="1" applyBorder="1" applyAlignment="1" applyProtection="1">
      <alignment horizontal="center" vertical="center"/>
      <protection locked="0"/>
    </xf>
    <xf numFmtId="0" fontId="0" fillId="2" borderId="21" xfId="0" applyFill="1" applyBorder="1" applyAlignment="1">
      <alignment horizontal="center" vertical="center" textRotation="90" wrapText="1"/>
    </xf>
    <xf numFmtId="0" fontId="0" fillId="2" borderId="40" xfId="0" applyFill="1" applyBorder="1" applyAlignment="1">
      <alignment horizontal="center" vertical="center" textRotation="90" wrapText="1"/>
    </xf>
    <xf numFmtId="0" fontId="0" fillId="2" borderId="25" xfId="0" applyFill="1" applyBorder="1" applyAlignment="1">
      <alignment horizontal="center" vertical="center" textRotation="90" wrapText="1"/>
    </xf>
    <xf numFmtId="0" fontId="0" fillId="2" borderId="21" xfId="0" applyFill="1" applyBorder="1" applyAlignment="1">
      <alignment horizontal="center" vertical="center" textRotation="90"/>
    </xf>
    <xf numFmtId="0" fontId="0" fillId="2" borderId="40" xfId="0" applyFill="1" applyBorder="1" applyAlignment="1">
      <alignment horizontal="center" vertical="center" textRotation="90"/>
    </xf>
    <xf numFmtId="0" fontId="0" fillId="2" borderId="25" xfId="0" applyFill="1" applyBorder="1" applyAlignment="1">
      <alignment horizontal="center" vertical="center" textRotation="90"/>
    </xf>
    <xf numFmtId="0" fontId="0" fillId="2" borderId="6" xfId="0" applyFill="1" applyBorder="1" applyAlignment="1">
      <alignment horizontal="right" vertical="center" wrapText="1"/>
    </xf>
    <xf numFmtId="0" fontId="0" fillId="2" borderId="16" xfId="0" applyFill="1" applyBorder="1" applyAlignment="1">
      <alignment horizontal="right" vertical="center" wrapText="1"/>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8" borderId="22" xfId="0" applyFill="1" applyBorder="1" applyAlignment="1">
      <alignment horizontal="left" vertical="center" wrapText="1"/>
    </xf>
    <xf numFmtId="0" fontId="0" fillId="8" borderId="44" xfId="0" applyFill="1" applyBorder="1" applyAlignment="1">
      <alignment horizontal="left" vertical="center" wrapText="1"/>
    </xf>
    <xf numFmtId="0" fontId="0" fillId="2" borderId="48" xfId="0" applyFill="1" applyBorder="1" applyAlignment="1">
      <alignment horizontal="center" vertical="top" wrapText="1"/>
    </xf>
    <xf numFmtId="0" fontId="0" fillId="2" borderId="49" xfId="0" applyFill="1" applyBorder="1" applyAlignment="1">
      <alignment horizontal="left" vertical="center" wrapText="1"/>
    </xf>
    <xf numFmtId="0" fontId="0" fillId="11" borderId="47" xfId="0" applyFill="1" applyBorder="1" applyAlignment="1">
      <alignment horizontal="left" vertical="center" wrapText="1"/>
    </xf>
    <xf numFmtId="1" fontId="0" fillId="8" borderId="26" xfId="0" applyNumberForma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0" fontId="0" fillId="2" borderId="0" xfId="0" applyFill="1" applyAlignment="1">
      <alignment horizontal="center" vertical="center"/>
    </xf>
    <xf numFmtId="0" fontId="20" fillId="13" borderId="6" xfId="0" applyFont="1" applyFill="1" applyBorder="1" applyAlignment="1">
      <alignment horizontal="center" vertical="center" wrapText="1"/>
    </xf>
    <xf numFmtId="0" fontId="20" fillId="13" borderId="52"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5" fillId="2" borderId="0" xfId="0" applyFont="1" applyFill="1" applyAlignment="1">
      <alignment horizontal="center"/>
    </xf>
    <xf numFmtId="0" fontId="0" fillId="2" borderId="0" xfId="0" applyFill="1" applyAlignment="1">
      <alignment horizontal="left" vertical="center"/>
    </xf>
    <xf numFmtId="0" fontId="17" fillId="2" borderId="0" xfId="0" applyFont="1" applyFill="1" applyAlignment="1">
      <alignment horizontal="center" vertical="center"/>
    </xf>
    <xf numFmtId="2" fontId="10" fillId="17" borderId="0" xfId="0" applyNumberFormat="1" applyFont="1" applyFill="1" applyAlignment="1">
      <alignment horizontal="center" vertical="center"/>
    </xf>
  </cellXfs>
  <cellStyles count="1">
    <cellStyle name="Normal" xfId="0" builtinId="0"/>
  </cellStyles>
  <dxfs count="92">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b/>
        <i val="0"/>
        <sz val="10"/>
        <color rgb="FF00B050"/>
        <name val="Calibri"/>
      </font>
      <numFmt numFmtId="0" formatCode="General"/>
    </dxf>
    <dxf>
      <font>
        <b/>
        <i val="0"/>
        <sz val="10"/>
        <color rgb="FFFF0000"/>
        <name val="Calibri"/>
      </font>
      <numFmt numFmtId="0" formatCode="General"/>
    </dxf>
    <dxf>
      <font>
        <sz val="10"/>
        <color rgb="FFFFFFFF"/>
        <name val="Calibri"/>
      </font>
      <numFmt numFmtId="0" formatCode="General"/>
      <fill>
        <patternFill patternType="solid">
          <fgColor rgb="FF000000"/>
          <bgColor rgb="FF00B050"/>
        </patternFill>
      </fill>
    </dxf>
    <dxf>
      <font>
        <b/>
        <i val="0"/>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00B050"/>
        </patternFill>
      </fill>
    </dxf>
    <dxf>
      <font>
        <b/>
        <i val="0"/>
        <sz val="10"/>
        <color rgb="FFFFFFFF"/>
        <name val="Calibri"/>
      </font>
      <numFmt numFmtId="0" formatCode="General"/>
      <fill>
        <patternFill patternType="solid">
          <fgColor rgb="FF000000"/>
          <bgColor rgb="FFFF0000"/>
        </patternFill>
      </fill>
    </dxf>
    <dxf>
      <font>
        <b/>
        <i val="0"/>
        <sz val="10"/>
        <color rgb="FF00B050"/>
        <name val="Calibri"/>
      </font>
      <numFmt numFmtId="0" formatCode="General"/>
    </dxf>
    <dxf>
      <font>
        <b/>
        <i val="0"/>
        <sz val="10"/>
        <color rgb="FFFF0000"/>
        <name val="Calibri"/>
      </font>
      <numFmt numFmtId="0" formatCode="Genera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00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
      <numFmt numFmtId="0" formatCode="General"/>
      <fill>
        <patternFill patternType="solid">
          <fgColor rgb="FF000000"/>
          <bgColor rgb="FFD8D8D8"/>
        </patternFill>
      </fill>
    </dxf>
    <dxf>
      <font>
        <sz val="10"/>
        <color rgb="FFFFFFFF"/>
        <name val="Calibri"/>
      </font>
      <numFmt numFmtId="0" formatCode="General"/>
      <fill>
        <patternFill patternType="solid">
          <fgColor rgb="FF000000"/>
          <bgColor rgb="FFFF0000"/>
        </patternFill>
      </fill>
    </dxf>
    <dxf>
      <font>
        <sz val="10"/>
        <color rgb="FFFFFFFF"/>
        <name val="Calibri"/>
      </font>
      <numFmt numFmtId="0" formatCode="General"/>
      <fill>
        <patternFill patternType="solid">
          <fgColor rgb="FF000000"/>
          <bgColor rgb="FFFF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topLeftCell="A19" zoomScale="80" zoomScaleNormal="80" workbookViewId="0">
      <selection activeCell="K24" sqref="K24"/>
    </sheetView>
  </sheetViews>
  <sheetFormatPr defaultColWidth="8.5703125" defaultRowHeight="15" customHeight="1" x14ac:dyDescent="0.25"/>
  <cols>
    <col min="1" max="1" width="3.5703125" style="8" customWidth="1"/>
    <col min="2" max="8" width="8.5703125" style="8"/>
    <col min="9" max="9" width="3.85546875" style="8" customWidth="1"/>
    <col min="10" max="21" width="8.5703125" style="8"/>
    <col min="22" max="22" width="2.5703125" style="8" customWidth="1"/>
    <col min="23" max="23" width="8.5703125" style="8"/>
  </cols>
  <sheetData>
    <row r="1" spans="1:27" ht="15" customHeight="1" x14ac:dyDescent="0.25">
      <c r="A1" s="6"/>
      <c r="B1" s="6"/>
      <c r="C1" s="6"/>
      <c r="D1" s="7"/>
      <c r="E1" s="7"/>
      <c r="F1" s="7"/>
      <c r="G1" s="7"/>
      <c r="H1" s="11"/>
      <c r="I1" s="11"/>
      <c r="J1" s="11"/>
      <c r="K1" s="11"/>
      <c r="L1" s="7"/>
      <c r="M1" s="7"/>
      <c r="N1" s="7"/>
      <c r="O1" s="7"/>
      <c r="P1" s="7"/>
      <c r="Q1" s="7"/>
      <c r="R1" s="7"/>
      <c r="S1" s="7"/>
      <c r="T1" s="7"/>
      <c r="U1" s="7"/>
      <c r="V1" s="7"/>
      <c r="AA1" s="264" t="s">
        <v>0</v>
      </c>
    </row>
    <row r="2" spans="1:27" ht="27" customHeight="1" x14ac:dyDescent="0.25">
      <c r="A2" s="270" t="s">
        <v>1</v>
      </c>
      <c r="B2" s="270"/>
      <c r="C2" s="270"/>
      <c r="D2" s="270"/>
      <c r="E2" s="270"/>
      <c r="F2" s="270"/>
      <c r="G2" s="270"/>
      <c r="H2" s="270"/>
      <c r="I2" s="270"/>
      <c r="J2" s="270"/>
      <c r="K2" s="270"/>
      <c r="L2" s="270"/>
      <c r="M2" s="270"/>
      <c r="N2" s="270"/>
      <c r="O2" s="270"/>
      <c r="P2" s="270"/>
      <c r="Q2" s="270"/>
      <c r="R2" s="270"/>
      <c r="S2" s="270"/>
      <c r="T2" s="270"/>
      <c r="U2" s="270"/>
      <c r="V2" s="270"/>
    </row>
    <row r="3" spans="1:27" ht="27" customHeight="1" x14ac:dyDescent="0.25">
      <c r="A3" s="271" t="s">
        <v>2</v>
      </c>
      <c r="B3" s="271"/>
      <c r="C3" s="271"/>
      <c r="D3" s="271"/>
      <c r="E3" s="271"/>
      <c r="F3" s="271"/>
      <c r="G3" s="271"/>
      <c r="H3" s="271"/>
      <c r="I3" s="271"/>
      <c r="J3" s="271"/>
      <c r="K3" s="271"/>
      <c r="L3" s="271"/>
      <c r="M3" s="271"/>
      <c r="N3" s="271"/>
      <c r="O3" s="271"/>
      <c r="P3" s="271"/>
      <c r="Q3" s="271"/>
      <c r="R3" s="271"/>
      <c r="S3" s="271"/>
      <c r="T3" s="271"/>
      <c r="U3" s="271"/>
      <c r="V3" s="271"/>
    </row>
    <row r="4" spans="1:27" ht="15" customHeight="1" x14ac:dyDescent="0.25">
      <c r="A4" s="7"/>
      <c r="B4" s="7"/>
      <c r="C4" s="7"/>
      <c r="D4" s="7"/>
      <c r="E4" s="7"/>
      <c r="F4" s="7"/>
      <c r="G4" s="9"/>
      <c r="H4" s="9"/>
      <c r="I4" s="9"/>
      <c r="J4" s="9"/>
      <c r="K4" s="9"/>
      <c r="L4" s="9"/>
      <c r="M4" s="9"/>
      <c r="N4" s="9"/>
      <c r="O4" s="9"/>
      <c r="P4" s="9"/>
      <c r="Q4" s="7"/>
      <c r="R4" s="7"/>
      <c r="S4" s="7"/>
      <c r="T4" s="7"/>
      <c r="U4" s="7"/>
      <c r="V4" s="7"/>
    </row>
    <row r="5" spans="1:27" ht="26.45" customHeight="1" x14ac:dyDescent="0.25">
      <c r="A5" s="273" t="s">
        <v>3</v>
      </c>
      <c r="B5" s="273"/>
      <c r="C5" s="273"/>
      <c r="D5" s="273"/>
      <c r="E5" s="273"/>
      <c r="F5" s="273"/>
      <c r="G5" s="273"/>
      <c r="H5" s="273"/>
      <c r="I5" s="273"/>
      <c r="J5" s="273"/>
      <c r="K5" s="273"/>
      <c r="L5" s="273"/>
      <c r="M5" s="273"/>
      <c r="N5" s="273"/>
      <c r="O5" s="273"/>
      <c r="P5" s="273"/>
      <c r="Q5" s="273"/>
      <c r="R5" s="273"/>
      <c r="S5" s="273"/>
      <c r="T5" s="273"/>
      <c r="U5" s="273"/>
      <c r="V5" s="273"/>
    </row>
    <row r="6" spans="1:27" ht="15" customHeight="1" x14ac:dyDescent="0.25">
      <c r="A6" s="7"/>
      <c r="B6" s="7"/>
      <c r="C6" s="7"/>
      <c r="D6" s="7"/>
      <c r="E6" s="7"/>
      <c r="F6" s="7"/>
      <c r="G6" s="9"/>
      <c r="H6" s="9"/>
      <c r="I6" s="9"/>
      <c r="J6" s="9"/>
      <c r="K6" s="9"/>
      <c r="L6" s="9"/>
      <c r="M6" s="9"/>
      <c r="N6" s="9"/>
      <c r="O6" s="9"/>
      <c r="P6" s="9"/>
      <c r="Q6" s="7"/>
      <c r="R6" s="7"/>
      <c r="S6" s="7"/>
      <c r="T6" s="7"/>
      <c r="U6" s="7"/>
      <c r="V6" s="7"/>
    </row>
    <row r="7" spans="1:27" s="12" customFormat="1" ht="24" customHeight="1" x14ac:dyDescent="0.25">
      <c r="A7" s="7"/>
      <c r="B7" s="14"/>
      <c r="C7" s="17" t="s">
        <v>4</v>
      </c>
      <c r="D7" s="15"/>
      <c r="E7" s="14"/>
      <c r="F7" s="15"/>
      <c r="G7" s="15" t="s">
        <v>5</v>
      </c>
      <c r="H7" s="272" t="s">
        <v>6</v>
      </c>
      <c r="I7" s="272"/>
      <c r="J7" s="272"/>
      <c r="K7" s="272"/>
      <c r="L7" s="272"/>
      <c r="M7" s="272"/>
      <c r="N7" s="272"/>
      <c r="O7" s="272"/>
      <c r="P7" s="272"/>
      <c r="Q7" s="272"/>
      <c r="R7" s="272"/>
      <c r="S7" s="272"/>
      <c r="T7" s="272"/>
      <c r="U7" s="272"/>
      <c r="V7" s="14"/>
    </row>
    <row r="8" spans="1:27" s="12" customFormat="1" ht="5.85" customHeight="1" x14ac:dyDescent="0.25">
      <c r="A8" s="7"/>
      <c r="B8" s="14"/>
      <c r="C8" s="14"/>
      <c r="D8" s="15"/>
      <c r="E8" s="14"/>
      <c r="F8" s="15"/>
      <c r="G8" s="15"/>
      <c r="H8" s="15"/>
      <c r="I8" s="15"/>
      <c r="J8" s="15"/>
      <c r="K8" s="15"/>
      <c r="L8" s="15"/>
      <c r="M8" s="15"/>
      <c r="N8" s="15"/>
      <c r="O8" s="15"/>
      <c r="P8" s="15"/>
      <c r="Q8" s="15"/>
      <c r="R8" s="15"/>
      <c r="S8" s="15"/>
      <c r="T8" s="15"/>
      <c r="U8" s="15"/>
      <c r="V8" s="14"/>
    </row>
    <row r="9" spans="1:27" s="12" customFormat="1" ht="24" customHeight="1" x14ac:dyDescent="0.25">
      <c r="A9" s="7"/>
      <c r="B9" s="14"/>
      <c r="C9" s="17" t="s">
        <v>7</v>
      </c>
      <c r="D9" s="15"/>
      <c r="E9" s="14"/>
      <c r="F9" s="15"/>
      <c r="G9" s="15" t="s">
        <v>5</v>
      </c>
      <c r="H9" s="268" t="s">
        <v>693</v>
      </c>
      <c r="I9" s="268"/>
      <c r="J9" s="268"/>
      <c r="K9" s="268"/>
      <c r="L9" s="268"/>
      <c r="M9" s="268"/>
      <c r="N9" s="268"/>
      <c r="O9" s="268"/>
      <c r="P9" s="268"/>
      <c r="Q9" s="268"/>
      <c r="R9" s="268"/>
      <c r="S9" s="14"/>
      <c r="T9" s="14"/>
      <c r="U9" s="14"/>
      <c r="V9" s="14"/>
    </row>
    <row r="10" spans="1:27" s="12" customFormat="1" ht="5.85" customHeight="1" x14ac:dyDescent="0.25">
      <c r="A10" s="7"/>
      <c r="B10" s="14"/>
      <c r="C10" s="14"/>
      <c r="D10" s="15"/>
      <c r="E10" s="14"/>
      <c r="F10" s="15"/>
      <c r="G10" s="15"/>
      <c r="H10" s="15"/>
      <c r="I10" s="15"/>
      <c r="J10" s="15"/>
      <c r="K10" s="15"/>
      <c r="L10" s="15"/>
      <c r="M10" s="15"/>
      <c r="N10" s="15"/>
      <c r="O10" s="15"/>
      <c r="P10" s="15"/>
      <c r="Q10" s="15"/>
      <c r="R10" s="15"/>
      <c r="S10" s="15"/>
      <c r="T10" s="15"/>
      <c r="U10" s="15"/>
      <c r="V10" s="14"/>
    </row>
    <row r="11" spans="1:27" s="12" customFormat="1" ht="24" customHeight="1" x14ac:dyDescent="0.25">
      <c r="A11" s="7"/>
      <c r="B11" s="14"/>
      <c r="C11" s="17" t="s">
        <v>8</v>
      </c>
      <c r="D11" s="15"/>
      <c r="E11" s="14"/>
      <c r="F11" s="15"/>
      <c r="G11" s="15" t="s">
        <v>5</v>
      </c>
      <c r="H11" s="268" t="s">
        <v>9</v>
      </c>
      <c r="I11" s="268"/>
      <c r="J11" s="268"/>
      <c r="K11" s="268"/>
      <c r="L11" s="268"/>
      <c r="M11" s="268"/>
      <c r="N11" s="268"/>
      <c r="O11" s="268"/>
      <c r="P11" s="268"/>
      <c r="Q11" s="268"/>
      <c r="R11" s="268"/>
      <c r="S11" s="14"/>
      <c r="T11" s="14"/>
      <c r="U11" s="14"/>
      <c r="V11" s="14"/>
    </row>
    <row r="12" spans="1:27" s="12" customFormat="1" ht="5.85" customHeight="1" x14ac:dyDescent="0.25">
      <c r="A12" s="7"/>
      <c r="B12" s="14"/>
      <c r="C12" s="14"/>
      <c r="D12" s="15"/>
      <c r="E12" s="14"/>
      <c r="F12" s="15"/>
      <c r="G12" s="15"/>
      <c r="H12" s="15"/>
      <c r="I12" s="15"/>
      <c r="J12" s="15"/>
      <c r="K12" s="15"/>
      <c r="L12" s="15"/>
      <c r="M12" s="15"/>
      <c r="N12" s="15"/>
      <c r="O12" s="15"/>
      <c r="P12" s="15"/>
      <c r="Q12" s="15"/>
      <c r="R12" s="15"/>
      <c r="S12" s="15"/>
      <c r="T12" s="15"/>
      <c r="U12" s="15"/>
      <c r="V12" s="14"/>
    </row>
    <row r="13" spans="1:27" s="12" customFormat="1" ht="24" customHeight="1" x14ac:dyDescent="0.25">
      <c r="A13" s="7"/>
      <c r="B13" s="14"/>
      <c r="C13" s="17" t="s">
        <v>10</v>
      </c>
      <c r="D13" s="15"/>
      <c r="E13" s="14"/>
      <c r="F13" s="15"/>
      <c r="G13" s="15" t="s">
        <v>5</v>
      </c>
      <c r="H13" s="163"/>
      <c r="I13" s="163"/>
      <c r="J13" s="163"/>
      <c r="K13" s="16"/>
      <c r="L13" s="16"/>
      <c r="M13" s="16"/>
      <c r="N13" s="16"/>
      <c r="O13" s="16"/>
      <c r="P13" s="16"/>
      <c r="Q13" s="16"/>
      <c r="R13" s="14"/>
      <c r="S13" s="14"/>
      <c r="T13" s="14"/>
      <c r="U13" s="14"/>
      <c r="V13" s="14"/>
    </row>
    <row r="14" spans="1:27" ht="5.85" customHeight="1" x14ac:dyDescent="0.25">
      <c r="A14" s="7"/>
      <c r="B14" s="7"/>
      <c r="C14" s="7"/>
      <c r="D14" s="13"/>
      <c r="E14" s="7"/>
      <c r="F14" s="7"/>
      <c r="G14" s="7"/>
      <c r="H14" s="7"/>
      <c r="I14" s="7"/>
      <c r="J14" s="7"/>
      <c r="K14" s="7"/>
      <c r="L14" s="10"/>
      <c r="M14" s="10"/>
      <c r="N14" s="10"/>
      <c r="O14" s="10"/>
      <c r="P14" s="10"/>
      <c r="Q14" s="10"/>
      <c r="R14" s="7"/>
      <c r="S14" s="7"/>
      <c r="T14" s="7"/>
      <c r="U14" s="7"/>
      <c r="V14" s="7"/>
    </row>
    <row r="15" spans="1:27" s="12" customFormat="1" ht="24" customHeight="1" x14ac:dyDescent="0.25">
      <c r="A15" s="7"/>
      <c r="B15" s="14"/>
      <c r="C15" s="17" t="s">
        <v>11</v>
      </c>
      <c r="D15" s="15"/>
      <c r="E15" s="14"/>
      <c r="F15" s="15"/>
      <c r="G15" s="15" t="s">
        <v>5</v>
      </c>
      <c r="H15" s="79">
        <v>2020</v>
      </c>
      <c r="I15" s="164" t="s">
        <v>12</v>
      </c>
      <c r="J15" s="79">
        <v>2021</v>
      </c>
      <c r="K15" s="16"/>
      <c r="L15" s="253" t="s">
        <v>13</v>
      </c>
      <c r="M15" s="254" t="s">
        <v>14</v>
      </c>
      <c r="N15" s="255">
        <v>3</v>
      </c>
      <c r="O15" s="16"/>
      <c r="P15" s="16"/>
      <c r="Q15" s="16"/>
      <c r="R15" s="14"/>
      <c r="S15" s="14"/>
      <c r="T15" s="14"/>
      <c r="U15" s="14"/>
      <c r="V15" s="14"/>
    </row>
    <row r="16" spans="1:27" ht="24" customHeight="1" x14ac:dyDescent="0.25">
      <c r="A16" s="7"/>
      <c r="B16" s="7"/>
      <c r="C16" s="78" t="s">
        <v>15</v>
      </c>
      <c r="D16" s="7"/>
      <c r="E16" s="7"/>
      <c r="F16" s="7"/>
      <c r="G16" s="7"/>
      <c r="H16" s="7"/>
      <c r="I16" s="7"/>
      <c r="J16" s="7"/>
      <c r="K16" s="7"/>
      <c r="L16" s="10"/>
      <c r="M16" s="10"/>
      <c r="N16" s="10"/>
      <c r="O16" s="10"/>
      <c r="P16" s="10"/>
      <c r="Q16" s="10"/>
      <c r="R16" s="7"/>
      <c r="S16" s="7"/>
      <c r="T16" s="7"/>
      <c r="U16" s="7"/>
      <c r="V16" s="7"/>
    </row>
    <row r="17" spans="1:22" s="12" customFormat="1" ht="24" customHeight="1" x14ac:dyDescent="0.25">
      <c r="A17" s="7"/>
      <c r="B17" s="7"/>
      <c r="C17" s="77"/>
      <c r="D17" s="13"/>
      <c r="E17" s="7"/>
      <c r="F17" s="7"/>
      <c r="G17" s="7"/>
      <c r="H17" s="7"/>
      <c r="I17" s="7"/>
      <c r="J17" s="7"/>
      <c r="K17" s="7"/>
      <c r="L17" s="267" t="s">
        <v>16</v>
      </c>
      <c r="M17" s="267"/>
      <c r="N17" s="267"/>
      <c r="O17" s="267"/>
      <c r="P17" s="267"/>
      <c r="Q17" s="267"/>
      <c r="R17" s="267"/>
      <c r="S17" s="267"/>
      <c r="T17" s="267"/>
      <c r="U17" s="267"/>
      <c r="V17" s="76"/>
    </row>
    <row r="18" spans="1:22" s="12" customFormat="1" ht="24" customHeight="1" x14ac:dyDescent="0.25">
      <c r="A18" s="7"/>
      <c r="B18" s="7"/>
      <c r="C18" s="7"/>
      <c r="D18" s="13"/>
      <c r="E18" s="7"/>
      <c r="F18" s="7"/>
      <c r="G18" s="7"/>
      <c r="H18" s="7"/>
      <c r="I18" s="7"/>
      <c r="J18" s="7"/>
      <c r="K18" s="7"/>
      <c r="L18" s="266" t="s">
        <v>17</v>
      </c>
      <c r="M18" s="266"/>
      <c r="N18" s="266"/>
      <c r="O18" s="266"/>
      <c r="P18" s="266"/>
      <c r="Q18" s="266"/>
      <c r="R18" s="266"/>
      <c r="S18" s="266"/>
      <c r="T18" s="266"/>
      <c r="U18" s="266"/>
      <c r="V18" s="129"/>
    </row>
    <row r="19" spans="1:22" ht="24" customHeight="1" x14ac:dyDescent="0.25">
      <c r="A19" s="7"/>
      <c r="B19" s="7"/>
      <c r="C19" s="7"/>
      <c r="D19" s="13"/>
      <c r="E19" s="7"/>
      <c r="F19" s="7"/>
      <c r="G19" s="7"/>
      <c r="H19" s="7"/>
      <c r="I19" s="7"/>
      <c r="J19" s="7"/>
      <c r="K19" s="7"/>
      <c r="L19" s="7"/>
      <c r="M19" s="7"/>
      <c r="N19" s="7"/>
      <c r="O19" s="7"/>
      <c r="P19" s="7"/>
      <c r="Q19" s="7"/>
      <c r="R19" s="7"/>
      <c r="S19" s="7"/>
      <c r="T19" s="7"/>
      <c r="U19" s="7"/>
      <c r="V19" s="7"/>
    </row>
    <row r="20" spans="1:22" s="12" customFormat="1" ht="24" customHeight="1" x14ac:dyDescent="0.25">
      <c r="A20" s="7"/>
      <c r="B20" s="7"/>
      <c r="C20" s="7"/>
      <c r="D20" s="13"/>
      <c r="E20" s="7"/>
      <c r="F20" s="7"/>
      <c r="G20" s="7"/>
      <c r="H20" s="7"/>
      <c r="I20" s="7"/>
      <c r="J20" s="7"/>
      <c r="K20" s="7"/>
      <c r="L20" s="17" t="s">
        <v>18</v>
      </c>
      <c r="M20" s="15"/>
      <c r="N20" s="14"/>
      <c r="O20" s="15" t="s">
        <v>5</v>
      </c>
      <c r="P20" s="268" t="s">
        <v>766</v>
      </c>
      <c r="Q20" s="268"/>
      <c r="R20" s="268"/>
      <c r="S20" s="268"/>
      <c r="T20" s="268"/>
      <c r="U20" s="268"/>
      <c r="V20" s="14"/>
    </row>
    <row r="21" spans="1:22" s="12" customFormat="1" ht="4.5" customHeight="1" x14ac:dyDescent="0.25">
      <c r="A21" s="7"/>
      <c r="B21" s="7"/>
      <c r="C21" s="7"/>
      <c r="D21" s="13"/>
      <c r="E21" s="7"/>
      <c r="F21" s="7"/>
      <c r="G21" s="7"/>
      <c r="H21" s="7"/>
      <c r="I21" s="7"/>
      <c r="J21" s="7"/>
      <c r="K21" s="7"/>
      <c r="L21" s="14"/>
      <c r="M21" s="15"/>
      <c r="N21" s="14"/>
      <c r="O21" s="15"/>
      <c r="P21" s="15"/>
      <c r="Q21" s="15"/>
      <c r="R21" s="15"/>
      <c r="S21" s="15"/>
      <c r="T21" s="15"/>
      <c r="U21" s="7"/>
      <c r="V21" s="14"/>
    </row>
    <row r="22" spans="1:22" s="12" customFormat="1" ht="24" customHeight="1" x14ac:dyDescent="0.25">
      <c r="A22" s="7"/>
      <c r="B22" s="78"/>
      <c r="C22" s="7"/>
      <c r="D22" s="13"/>
      <c r="E22" s="7"/>
      <c r="F22" s="7"/>
      <c r="G22" s="7"/>
      <c r="H22" s="7"/>
      <c r="I22" s="7"/>
      <c r="J22" s="7"/>
      <c r="K22" s="7"/>
      <c r="L22" s="17" t="s">
        <v>19</v>
      </c>
      <c r="M22" s="15"/>
      <c r="N22" s="14"/>
      <c r="O22" s="15" t="s">
        <v>5</v>
      </c>
      <c r="P22" s="268" t="s">
        <v>765</v>
      </c>
      <c r="Q22" s="268"/>
      <c r="R22" s="268"/>
      <c r="S22" s="268"/>
      <c r="T22" s="7"/>
      <c r="U22" s="7"/>
      <c r="V22" s="14"/>
    </row>
    <row r="23" spans="1:22" ht="4.5" customHeight="1" x14ac:dyDescent="0.25">
      <c r="A23" s="7"/>
      <c r="B23" s="7"/>
      <c r="C23" s="7"/>
      <c r="D23" s="13"/>
      <c r="E23" s="7"/>
      <c r="F23" s="7"/>
      <c r="G23" s="7"/>
      <c r="H23" s="7"/>
      <c r="I23" s="7"/>
      <c r="J23" s="7"/>
      <c r="K23" s="7"/>
      <c r="L23" s="14"/>
      <c r="M23" s="15"/>
      <c r="N23" s="14"/>
      <c r="O23" s="15"/>
      <c r="P23" s="15"/>
      <c r="Q23" s="15"/>
      <c r="R23" s="15"/>
      <c r="S23" s="15"/>
      <c r="T23" s="7"/>
      <c r="U23" s="7"/>
      <c r="V23" s="7"/>
    </row>
    <row r="24" spans="1:22" ht="24" customHeight="1" x14ac:dyDescent="0.25">
      <c r="A24" s="7"/>
      <c r="B24" s="19" t="s">
        <v>20</v>
      </c>
      <c r="C24" s="20" t="s">
        <v>21</v>
      </c>
      <c r="D24" s="13"/>
      <c r="E24" s="7"/>
      <c r="F24" s="7"/>
      <c r="G24" s="7"/>
      <c r="H24" s="7"/>
      <c r="I24" s="7"/>
      <c r="J24" s="7"/>
      <c r="K24" s="7"/>
      <c r="L24" s="17" t="s">
        <v>22</v>
      </c>
      <c r="M24" s="15"/>
      <c r="N24" s="14"/>
      <c r="O24" s="15" t="s">
        <v>5</v>
      </c>
      <c r="P24" s="269" t="s">
        <v>694</v>
      </c>
      <c r="Q24" s="269"/>
      <c r="R24" s="269"/>
      <c r="S24" s="7"/>
      <c r="T24" s="7"/>
      <c r="U24" s="7"/>
      <c r="V24" s="7"/>
    </row>
    <row r="25" spans="1:22" ht="15" customHeight="1" x14ac:dyDescent="0.25">
      <c r="A25" s="7"/>
      <c r="B25" s="18"/>
      <c r="C25" s="7"/>
      <c r="D25" s="7"/>
      <c r="E25" s="7"/>
      <c r="F25" s="7"/>
      <c r="G25" s="7"/>
      <c r="H25" s="7"/>
      <c r="I25" s="7"/>
      <c r="J25" s="7"/>
      <c r="K25" s="7"/>
      <c r="L25" s="7"/>
      <c r="M25" s="7"/>
      <c r="N25" s="7"/>
      <c r="O25" s="7"/>
      <c r="P25" s="7"/>
      <c r="Q25" s="7"/>
      <c r="R25" s="7"/>
      <c r="S25" s="7"/>
      <c r="T25" s="7"/>
      <c r="U25" s="7"/>
      <c r="V25" s="7"/>
    </row>
  </sheetData>
  <sheetProtection formatCells="0" formatColumns="0" formatRows="0" insertColumns="0" insertRows="0" insertHyperlinks="0" deleteColumns="0" deleteRows="0" sort="0" autoFilter="0" pivotTables="0"/>
  <mergeCells count="11">
    <mergeCell ref="L18:U18"/>
    <mergeCell ref="L17:U17"/>
    <mergeCell ref="P22:S22"/>
    <mergeCell ref="P24:R24"/>
    <mergeCell ref="A2:V2"/>
    <mergeCell ref="A3:V3"/>
    <mergeCell ref="P20:U20"/>
    <mergeCell ref="H7:U7"/>
    <mergeCell ref="A5:V5"/>
    <mergeCell ref="H9:R9"/>
    <mergeCell ref="H11:R11"/>
  </mergeCells>
  <dataValidations count="4">
    <dataValidation type="list" allowBlank="1" showInputMessage="1" showErrorMessage="1" sqref="H10">
      <formula1>#REF!</formula1>
    </dataValidation>
    <dataValidation type="list" allowBlank="1" showInputMessage="1" showErrorMessage="1" sqref="I10">
      <formula1>#REF!</formula1>
    </dataValidation>
    <dataValidation type="list" allowBlank="1" showInputMessage="1" showErrorMessage="1" sqref="J10">
      <formula1>#REF!</formula1>
    </dataValidation>
    <dataValidation type="list" allowBlank="1" showInputMessage="1" showErrorMessage="1" sqref="K10">
      <formula1>#REF!</formula1>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68"/>
  <sheetViews>
    <sheetView workbookViewId="0">
      <pane xSplit="1" ySplit="6" topLeftCell="C395" activePane="bottomRight" state="frozen"/>
      <selection pane="topRight"/>
      <selection pane="bottomLeft"/>
      <selection pane="bottomRight" activeCell="C404" sqref="C404:D404"/>
    </sheetView>
  </sheetViews>
  <sheetFormatPr defaultColWidth="9.140625" defaultRowHeight="15" x14ac:dyDescent="0.25"/>
  <cols>
    <col min="1" max="1" width="6.42578125" style="135" customWidth="1"/>
    <col min="2" max="2" width="12.42578125" style="135" customWidth="1"/>
    <col min="3" max="3" width="5.140625" style="8" customWidth="1"/>
    <col min="4" max="4" width="58.5703125" style="71" customWidth="1"/>
    <col min="5" max="5" width="15.5703125" style="8" customWidth="1"/>
    <col min="6" max="6" width="8.42578125" style="8" customWidth="1"/>
    <col min="7" max="7" width="4.5703125" style="8" customWidth="1"/>
    <col min="8" max="8" width="60.42578125" style="5" customWidth="1"/>
    <col min="9" max="9" width="9.140625" style="8"/>
  </cols>
  <sheetData>
    <row r="1" spans="1:8" ht="15.95" customHeight="1" x14ac:dyDescent="0.25">
      <c r="A1" s="351" t="s">
        <v>767</v>
      </c>
      <c r="B1" s="351"/>
      <c r="C1" s="351"/>
      <c r="D1" s="351"/>
      <c r="E1" s="351"/>
      <c r="F1" s="351"/>
      <c r="H1" s="8"/>
    </row>
    <row r="2" spans="1:8" ht="15.95" customHeight="1" x14ac:dyDescent="0.25">
      <c r="A2" s="351" t="s">
        <v>3</v>
      </c>
      <c r="B2" s="351"/>
      <c r="C2" s="351"/>
      <c r="D2" s="351"/>
      <c r="E2" s="351"/>
      <c r="F2" s="351"/>
      <c r="H2" s="8"/>
    </row>
    <row r="3" spans="1:8" s="110" customFormat="1" ht="15.95" customHeight="1" x14ac:dyDescent="0.25">
      <c r="A3" s="165"/>
      <c r="B3" s="165"/>
      <c r="C3" s="165"/>
      <c r="D3" s="165"/>
      <c r="E3" s="165"/>
      <c r="F3" s="165"/>
    </row>
    <row r="4" spans="1:8" ht="15.95" customHeight="1" x14ac:dyDescent="0.25">
      <c r="A4" s="166" t="s">
        <v>23</v>
      </c>
      <c r="B4" s="166"/>
      <c r="C4" s="166"/>
      <c r="D4" s="166"/>
      <c r="E4" s="166"/>
      <c r="F4" s="166"/>
      <c r="H4" s="8"/>
    </row>
    <row r="5" spans="1:8" ht="15" customHeight="1" x14ac:dyDescent="0.25">
      <c r="A5" s="167"/>
      <c r="B5" s="168"/>
      <c r="C5" s="168"/>
      <c r="D5" s="169"/>
      <c r="E5" s="168"/>
      <c r="F5" s="168"/>
      <c r="G5" s="168"/>
      <c r="H5" s="168"/>
    </row>
    <row r="6" spans="1:8" ht="33" customHeight="1" x14ac:dyDescent="0.25">
      <c r="A6" s="49" t="s">
        <v>24</v>
      </c>
      <c r="B6" s="50" t="s">
        <v>25</v>
      </c>
      <c r="C6" s="352" t="s">
        <v>26</v>
      </c>
      <c r="D6" s="353"/>
      <c r="E6" s="51" t="s">
        <v>27</v>
      </c>
      <c r="H6" s="52" t="s">
        <v>28</v>
      </c>
    </row>
    <row r="7" spans="1:8" ht="48" customHeight="1" x14ac:dyDescent="0.25">
      <c r="A7" s="274">
        <v>1</v>
      </c>
      <c r="B7" s="317" t="s">
        <v>29</v>
      </c>
      <c r="C7" s="320" t="s">
        <v>30</v>
      </c>
      <c r="D7" s="321"/>
      <c r="E7" s="21">
        <v>2</v>
      </c>
      <c r="F7" s="8" t="str">
        <f>IF(OR(ISBLANK(E7),E7&gt;4),"Salah isi","judge")</f>
        <v>judge</v>
      </c>
      <c r="H7" s="202" t="s">
        <v>739</v>
      </c>
    </row>
    <row r="8" spans="1:8" ht="145.69999999999999" customHeight="1" x14ac:dyDescent="0.25">
      <c r="A8" s="275"/>
      <c r="B8" s="318"/>
      <c r="C8" s="22">
        <v>4</v>
      </c>
      <c r="D8" s="60" t="s">
        <v>31</v>
      </c>
      <c r="E8" s="23"/>
      <c r="H8" s="29"/>
    </row>
    <row r="9" spans="1:8" ht="116.65" customHeight="1" x14ac:dyDescent="0.25">
      <c r="A9" s="275"/>
      <c r="B9" s="318"/>
      <c r="C9" s="22">
        <v>3</v>
      </c>
      <c r="D9" s="60" t="s">
        <v>32</v>
      </c>
      <c r="E9" s="23"/>
      <c r="H9" s="29"/>
    </row>
    <row r="10" spans="1:8" ht="43.7" customHeight="1" x14ac:dyDescent="0.25">
      <c r="A10" s="275"/>
      <c r="B10" s="318"/>
      <c r="C10" s="22">
        <v>2</v>
      </c>
      <c r="D10" s="60" t="s">
        <v>33</v>
      </c>
      <c r="E10" s="23"/>
      <c r="H10" s="29"/>
    </row>
    <row r="11" spans="1:8" ht="43.7" customHeight="1" x14ac:dyDescent="0.25">
      <c r="A11" s="275"/>
      <c r="B11" s="318"/>
      <c r="C11" s="22">
        <v>1</v>
      </c>
      <c r="D11" s="60" t="s">
        <v>34</v>
      </c>
      <c r="E11" s="23"/>
      <c r="H11" s="29"/>
    </row>
    <row r="12" spans="1:8" ht="43.7" customHeight="1" x14ac:dyDescent="0.25">
      <c r="A12" s="275"/>
      <c r="B12" s="318"/>
      <c r="C12" s="22">
        <v>0</v>
      </c>
      <c r="D12" s="60" t="s">
        <v>35</v>
      </c>
      <c r="E12" s="24"/>
      <c r="H12" s="29"/>
    </row>
    <row r="13" spans="1:8" ht="15" customHeight="1" x14ac:dyDescent="0.25">
      <c r="A13" s="276"/>
      <c r="B13" s="319"/>
      <c r="C13" s="289" t="s">
        <v>36</v>
      </c>
      <c r="D13" s="290"/>
      <c r="E13" s="25">
        <f>IF(F7="Salah isi",0,E7)</f>
        <v>2</v>
      </c>
      <c r="H13" s="29"/>
    </row>
    <row r="14" spans="1:8" ht="15" customHeight="1" x14ac:dyDescent="0.25">
      <c r="A14" s="26"/>
      <c r="B14" s="26"/>
      <c r="C14" s="27"/>
      <c r="D14" s="62"/>
      <c r="E14" s="28"/>
      <c r="H14" s="29"/>
    </row>
    <row r="15" spans="1:8" ht="79.349999999999994" customHeight="1" x14ac:dyDescent="0.25">
      <c r="A15" s="274">
        <v>2</v>
      </c>
      <c r="B15" s="317" t="s">
        <v>37</v>
      </c>
      <c r="C15" s="320" t="s">
        <v>38</v>
      </c>
      <c r="D15" s="321"/>
      <c r="E15" s="21" t="s">
        <v>760</v>
      </c>
      <c r="F15" s="8" t="str">
        <f>IF(OR(ISBLANK(E15),E15&gt;4),"Salah isi","judge")</f>
        <v>Salah isi</v>
      </c>
      <c r="H15" s="202" t="s">
        <v>695</v>
      </c>
    </row>
    <row r="16" spans="1:8" ht="131.1" customHeight="1" x14ac:dyDescent="0.25">
      <c r="A16" s="275"/>
      <c r="B16" s="318"/>
      <c r="C16" s="22">
        <v>4</v>
      </c>
      <c r="D16" s="64" t="s">
        <v>39</v>
      </c>
      <c r="E16" s="23"/>
      <c r="H16" s="29"/>
    </row>
    <row r="17" spans="1:8" ht="116.65" customHeight="1" x14ac:dyDescent="0.25">
      <c r="A17" s="275"/>
      <c r="B17" s="318"/>
      <c r="C17" s="22">
        <v>3</v>
      </c>
      <c r="D17" s="60" t="s">
        <v>40</v>
      </c>
      <c r="E17" s="23"/>
      <c r="H17" s="29"/>
    </row>
    <row r="18" spans="1:8" ht="72.95" customHeight="1" x14ac:dyDescent="0.25">
      <c r="A18" s="275"/>
      <c r="B18" s="318"/>
      <c r="C18" s="22">
        <v>2</v>
      </c>
      <c r="D18" s="60" t="s">
        <v>41</v>
      </c>
      <c r="E18" s="23"/>
      <c r="H18" s="29"/>
    </row>
    <row r="19" spans="1:8" ht="72.95" customHeight="1" x14ac:dyDescent="0.25">
      <c r="A19" s="275"/>
      <c r="B19" s="318"/>
      <c r="C19" s="22">
        <v>1</v>
      </c>
      <c r="D19" s="60" t="s">
        <v>42</v>
      </c>
      <c r="E19" s="23"/>
      <c r="H19" s="29"/>
    </row>
    <row r="20" spans="1:8" ht="43.7" customHeight="1" x14ac:dyDescent="0.25">
      <c r="A20" s="275"/>
      <c r="B20" s="318"/>
      <c r="C20" s="22">
        <v>0</v>
      </c>
      <c r="D20" s="60" t="s">
        <v>43</v>
      </c>
      <c r="E20" s="24"/>
      <c r="H20" s="29"/>
    </row>
    <row r="21" spans="1:8" ht="15" customHeight="1" x14ac:dyDescent="0.25">
      <c r="A21" s="276"/>
      <c r="B21" s="319"/>
      <c r="C21" s="289" t="s">
        <v>36</v>
      </c>
      <c r="D21" s="290"/>
      <c r="E21" s="25">
        <f>IF(F15="Salah isi",0,E15)</f>
        <v>0</v>
      </c>
      <c r="H21" s="29"/>
    </row>
    <row r="22" spans="1:8" ht="15" customHeight="1" x14ac:dyDescent="0.25">
      <c r="A22" s="26"/>
      <c r="B22" s="26"/>
      <c r="C22" s="27"/>
      <c r="D22" s="62"/>
      <c r="E22" s="28"/>
      <c r="H22" s="29"/>
    </row>
    <row r="23" spans="1:8" ht="50.25" customHeight="1" x14ac:dyDescent="0.25">
      <c r="A23" s="274">
        <v>3</v>
      </c>
      <c r="B23" s="322" t="s">
        <v>44</v>
      </c>
      <c r="C23" s="320" t="s">
        <v>45</v>
      </c>
      <c r="D23" s="321"/>
      <c r="E23" s="21">
        <v>3</v>
      </c>
      <c r="F23" s="8" t="str">
        <f>IF(OR(ISBLANK(E23),E23&gt;4),"Salah isi","judge")</f>
        <v>judge</v>
      </c>
      <c r="H23" s="202" t="s">
        <v>696</v>
      </c>
    </row>
    <row r="24" spans="1:8" ht="116.65" customHeight="1" x14ac:dyDescent="0.25">
      <c r="A24" s="275"/>
      <c r="B24" s="293"/>
      <c r="C24" s="22">
        <v>4</v>
      </c>
      <c r="D24" s="64" t="s">
        <v>46</v>
      </c>
      <c r="E24" s="23"/>
      <c r="H24" s="29"/>
    </row>
    <row r="25" spans="1:8" ht="87.4" customHeight="1" x14ac:dyDescent="0.25">
      <c r="A25" s="275"/>
      <c r="B25" s="293"/>
      <c r="C25" s="22">
        <v>3</v>
      </c>
      <c r="D25" s="60" t="s">
        <v>47</v>
      </c>
      <c r="E25" s="23"/>
      <c r="H25" s="29"/>
    </row>
    <row r="26" spans="1:8" ht="87.4" customHeight="1" x14ac:dyDescent="0.25">
      <c r="A26" s="275"/>
      <c r="B26" s="293"/>
      <c r="C26" s="22">
        <v>2</v>
      </c>
      <c r="D26" s="60" t="s">
        <v>48</v>
      </c>
      <c r="E26" s="23"/>
      <c r="H26" s="29"/>
    </row>
    <row r="27" spans="1:8" ht="87.4" customHeight="1" x14ac:dyDescent="0.25">
      <c r="A27" s="275"/>
      <c r="B27" s="293"/>
      <c r="C27" s="22">
        <v>1</v>
      </c>
      <c r="D27" s="60" t="s">
        <v>49</v>
      </c>
      <c r="E27" s="23"/>
      <c r="H27" s="29"/>
    </row>
    <row r="28" spans="1:8" ht="29.1" customHeight="1" x14ac:dyDescent="0.25">
      <c r="A28" s="275"/>
      <c r="B28" s="293"/>
      <c r="C28" s="22">
        <v>0</v>
      </c>
      <c r="D28" s="60" t="s">
        <v>50</v>
      </c>
      <c r="E28" s="24"/>
      <c r="H28" s="29"/>
    </row>
    <row r="29" spans="1:8" ht="15" customHeight="1" x14ac:dyDescent="0.25">
      <c r="A29" s="276"/>
      <c r="B29" s="294"/>
      <c r="C29" s="289" t="s">
        <v>36</v>
      </c>
      <c r="D29" s="290"/>
      <c r="E29" s="25">
        <f>IF(F23="Salah isi",0,E23)</f>
        <v>3</v>
      </c>
      <c r="H29" s="29"/>
    </row>
    <row r="30" spans="1:8" ht="15" customHeight="1" x14ac:dyDescent="0.25">
      <c r="A30" s="26"/>
      <c r="B30" s="26"/>
      <c r="C30" s="27"/>
      <c r="D30" s="62"/>
      <c r="E30" s="28"/>
      <c r="H30" s="29"/>
    </row>
    <row r="31" spans="1:8" ht="50.25" customHeight="1" x14ac:dyDescent="0.25">
      <c r="A31" s="274">
        <v>4</v>
      </c>
      <c r="B31" s="322"/>
      <c r="C31" s="320" t="s">
        <v>51</v>
      </c>
      <c r="D31" s="321"/>
      <c r="E31" s="21">
        <v>2</v>
      </c>
      <c r="F31" s="8" t="str">
        <f>IF(OR(ISBLANK(E31),E31&gt;4),"Salah isi","judge")</f>
        <v>judge</v>
      </c>
      <c r="H31" s="202" t="s">
        <v>697</v>
      </c>
    </row>
    <row r="32" spans="1:8" ht="72.95" customHeight="1" x14ac:dyDescent="0.25">
      <c r="A32" s="275"/>
      <c r="B32" s="293"/>
      <c r="C32" s="22">
        <v>4</v>
      </c>
      <c r="D32" s="64" t="s">
        <v>52</v>
      </c>
      <c r="E32" s="23"/>
      <c r="H32" s="29"/>
    </row>
    <row r="33" spans="1:8" ht="72.95" customHeight="1" x14ac:dyDescent="0.25">
      <c r="A33" s="275"/>
      <c r="B33" s="293"/>
      <c r="C33" s="22">
        <v>3</v>
      </c>
      <c r="D33" s="60" t="s">
        <v>53</v>
      </c>
      <c r="E33" s="23"/>
      <c r="H33" s="29"/>
    </row>
    <row r="34" spans="1:8" ht="58.35" customHeight="1" x14ac:dyDescent="0.25">
      <c r="A34" s="275"/>
      <c r="B34" s="293"/>
      <c r="C34" s="22">
        <v>2</v>
      </c>
      <c r="D34" s="60" t="s">
        <v>54</v>
      </c>
      <c r="E34" s="23"/>
      <c r="H34" s="29"/>
    </row>
    <row r="35" spans="1:8" ht="43.7" customHeight="1" x14ac:dyDescent="0.25">
      <c r="A35" s="275"/>
      <c r="B35" s="293"/>
      <c r="C35" s="22">
        <v>1</v>
      </c>
      <c r="D35" s="60" t="s">
        <v>55</v>
      </c>
      <c r="E35" s="23"/>
      <c r="H35" s="29"/>
    </row>
    <row r="36" spans="1:8" ht="29.1" customHeight="1" x14ac:dyDescent="0.25">
      <c r="A36" s="275"/>
      <c r="B36" s="293"/>
      <c r="C36" s="22">
        <v>0</v>
      </c>
      <c r="D36" s="60" t="s">
        <v>56</v>
      </c>
      <c r="E36" s="24"/>
      <c r="H36" s="29"/>
    </row>
    <row r="37" spans="1:8" ht="15" customHeight="1" x14ac:dyDescent="0.25">
      <c r="A37" s="276"/>
      <c r="B37" s="294"/>
      <c r="C37" s="289" t="s">
        <v>36</v>
      </c>
      <c r="D37" s="290"/>
      <c r="E37" s="25">
        <f>IF(F31="Salah isi",0,E31)</f>
        <v>2</v>
      </c>
      <c r="H37" s="29"/>
    </row>
    <row r="38" spans="1:8" ht="15" customHeight="1" x14ac:dyDescent="0.25">
      <c r="A38" s="26"/>
      <c r="B38" s="26"/>
      <c r="C38" s="27"/>
      <c r="D38" s="62"/>
      <c r="E38" s="28"/>
      <c r="H38" s="29"/>
    </row>
    <row r="39" spans="1:8" ht="50.25" customHeight="1" x14ac:dyDescent="0.25">
      <c r="A39" s="274">
        <v>5</v>
      </c>
      <c r="B39" s="322"/>
      <c r="C39" s="320" t="s">
        <v>57</v>
      </c>
      <c r="D39" s="321"/>
      <c r="E39" s="21">
        <v>1</v>
      </c>
      <c r="F39" s="8" t="str">
        <f>IF(OR(ISBLANK(E39),E39&gt;4),"Salah isi","judge")</f>
        <v>judge</v>
      </c>
      <c r="H39" s="202" t="s">
        <v>740</v>
      </c>
    </row>
    <row r="40" spans="1:8" ht="58.35" customHeight="1" x14ac:dyDescent="0.25">
      <c r="A40" s="275"/>
      <c r="B40" s="293"/>
      <c r="C40" s="22">
        <v>4</v>
      </c>
      <c r="D40" s="64" t="s">
        <v>58</v>
      </c>
      <c r="E40" s="23"/>
      <c r="H40" s="29"/>
    </row>
    <row r="41" spans="1:8" ht="58.35" customHeight="1" x14ac:dyDescent="0.25">
      <c r="A41" s="275"/>
      <c r="B41" s="293"/>
      <c r="C41" s="22">
        <v>3</v>
      </c>
      <c r="D41" s="60" t="s">
        <v>59</v>
      </c>
      <c r="E41" s="23"/>
      <c r="H41" s="29"/>
    </row>
    <row r="42" spans="1:8" ht="43.7" customHeight="1" x14ac:dyDescent="0.25">
      <c r="A42" s="275"/>
      <c r="B42" s="293"/>
      <c r="C42" s="22">
        <v>2</v>
      </c>
      <c r="D42" s="60" t="s">
        <v>60</v>
      </c>
      <c r="E42" s="23"/>
      <c r="H42" s="29"/>
    </row>
    <row r="43" spans="1:8" ht="29.1" customHeight="1" x14ac:dyDescent="0.25">
      <c r="A43" s="275"/>
      <c r="B43" s="293"/>
      <c r="C43" s="22">
        <v>1</v>
      </c>
      <c r="D43" s="60" t="s">
        <v>61</v>
      </c>
      <c r="E43" s="23"/>
      <c r="H43" s="29"/>
    </row>
    <row r="44" spans="1:8" x14ac:dyDescent="0.25">
      <c r="A44" s="275"/>
      <c r="B44" s="293"/>
      <c r="C44" s="22">
        <v>0</v>
      </c>
      <c r="D44" s="60" t="s">
        <v>62</v>
      </c>
      <c r="E44" s="24"/>
      <c r="H44" s="29"/>
    </row>
    <row r="45" spans="1:8" ht="15" customHeight="1" x14ac:dyDescent="0.25">
      <c r="A45" s="276"/>
      <c r="B45" s="294"/>
      <c r="C45" s="289" t="s">
        <v>36</v>
      </c>
      <c r="D45" s="290"/>
      <c r="E45" s="25">
        <f>IF(F39="Salah isi",0,E39)</f>
        <v>1</v>
      </c>
      <c r="H45" s="29"/>
    </row>
    <row r="46" spans="1:8" ht="15" customHeight="1" x14ac:dyDescent="0.25">
      <c r="A46" s="26"/>
      <c r="B46" s="26"/>
      <c r="C46" s="27"/>
      <c r="D46" s="62"/>
      <c r="E46" s="28"/>
      <c r="H46" s="29"/>
    </row>
    <row r="47" spans="1:8" ht="50.25" customHeight="1" x14ac:dyDescent="0.25">
      <c r="A47" s="274">
        <v>6</v>
      </c>
      <c r="B47" s="322" t="s">
        <v>63</v>
      </c>
      <c r="C47" s="320" t="s">
        <v>64</v>
      </c>
      <c r="D47" s="327"/>
      <c r="E47" s="21">
        <v>3</v>
      </c>
      <c r="F47" s="8" t="str">
        <f>IF(OR(ISBLANK(E47),E47&gt;4),"Salah isi","judge")</f>
        <v>judge</v>
      </c>
      <c r="H47" s="202" t="s">
        <v>698</v>
      </c>
    </row>
    <row r="48" spans="1:8" ht="58.35" customHeight="1" x14ac:dyDescent="0.25">
      <c r="A48" s="275"/>
      <c r="B48" s="293"/>
      <c r="C48" s="30">
        <v>4</v>
      </c>
      <c r="D48" s="65" t="s">
        <v>65</v>
      </c>
      <c r="E48" s="31"/>
      <c r="H48" s="29"/>
    </row>
    <row r="49" spans="1:8" ht="43.7" customHeight="1" x14ac:dyDescent="0.25">
      <c r="A49" s="275"/>
      <c r="B49" s="293"/>
      <c r="C49" s="30">
        <v>3</v>
      </c>
      <c r="D49" s="65" t="s">
        <v>66</v>
      </c>
      <c r="E49" s="31"/>
      <c r="H49" s="29"/>
    </row>
    <row r="50" spans="1:8" ht="43.7" customHeight="1" x14ac:dyDescent="0.25">
      <c r="A50" s="275"/>
      <c r="B50" s="293"/>
      <c r="C50" s="30">
        <v>2</v>
      </c>
      <c r="D50" s="65" t="s">
        <v>67</v>
      </c>
      <c r="E50" s="31"/>
      <c r="H50" s="29"/>
    </row>
    <row r="51" spans="1:8" ht="29.1" customHeight="1" x14ac:dyDescent="0.25">
      <c r="A51" s="275"/>
      <c r="B51" s="293"/>
      <c r="C51" s="30">
        <v>1</v>
      </c>
      <c r="D51" s="65" t="s">
        <v>68</v>
      </c>
      <c r="E51" s="31"/>
      <c r="H51" s="29"/>
    </row>
    <row r="52" spans="1:8" x14ac:dyDescent="0.25">
      <c r="A52" s="275"/>
      <c r="B52" s="293"/>
      <c r="C52" s="30">
        <v>0</v>
      </c>
      <c r="D52" s="65" t="s">
        <v>69</v>
      </c>
      <c r="E52" s="32"/>
      <c r="H52" s="29"/>
    </row>
    <row r="53" spans="1:8" ht="50.25" customHeight="1" x14ac:dyDescent="0.25">
      <c r="A53" s="275"/>
      <c r="B53" s="293"/>
      <c r="C53" s="347" t="s">
        <v>70</v>
      </c>
      <c r="D53" s="325"/>
      <c r="E53" s="33">
        <v>1</v>
      </c>
      <c r="F53" s="8" t="str">
        <f>IF(OR(ISBLANK(E53),E53&lt;1,E53&gt;4),"Salah isi","judge")</f>
        <v>judge</v>
      </c>
      <c r="H53" s="29"/>
    </row>
    <row r="54" spans="1:8" ht="43.7" customHeight="1" x14ac:dyDescent="0.25">
      <c r="A54" s="275"/>
      <c r="B54" s="293"/>
      <c r="C54" s="30">
        <v>4</v>
      </c>
      <c r="D54" s="65" t="s">
        <v>71</v>
      </c>
      <c r="E54" s="31"/>
      <c r="H54" s="29"/>
    </row>
    <row r="55" spans="1:8" ht="43.7" customHeight="1" x14ac:dyDescent="0.25">
      <c r="A55" s="275"/>
      <c r="B55" s="293"/>
      <c r="C55" s="30">
        <v>3</v>
      </c>
      <c r="D55" s="65" t="s">
        <v>72</v>
      </c>
      <c r="E55" s="31"/>
      <c r="H55" s="29"/>
    </row>
    <row r="56" spans="1:8" ht="43.7" customHeight="1" x14ac:dyDescent="0.25">
      <c r="A56" s="275"/>
      <c r="B56" s="293"/>
      <c r="C56" s="30">
        <v>2</v>
      </c>
      <c r="D56" s="65" t="s">
        <v>73</v>
      </c>
      <c r="E56" s="31"/>
      <c r="H56" s="29"/>
    </row>
    <row r="57" spans="1:8" ht="43.7" customHeight="1" x14ac:dyDescent="0.25">
      <c r="A57" s="275"/>
      <c r="B57" s="293"/>
      <c r="C57" s="30">
        <v>1</v>
      </c>
      <c r="D57" s="65" t="s">
        <v>74</v>
      </c>
      <c r="E57" s="31"/>
      <c r="H57" s="29"/>
    </row>
    <row r="58" spans="1:8" x14ac:dyDescent="0.25">
      <c r="A58" s="275"/>
      <c r="B58" s="293"/>
      <c r="C58" s="30">
        <v>0</v>
      </c>
      <c r="D58" s="65" t="s">
        <v>75</v>
      </c>
      <c r="E58" s="32"/>
      <c r="H58" s="29"/>
    </row>
    <row r="59" spans="1:8" ht="15" customHeight="1" x14ac:dyDescent="0.25">
      <c r="A59" s="276"/>
      <c r="B59" s="294"/>
      <c r="C59" s="289" t="s">
        <v>76</v>
      </c>
      <c r="D59" s="326"/>
      <c r="E59" s="25">
        <f>IF(OR(F47="Salah isi",F53="Salah isi"),0,(E47+2*E53)/3)</f>
        <v>1.6666666666666667</v>
      </c>
      <c r="H59" s="29"/>
    </row>
    <row r="60" spans="1:8" ht="15" customHeight="1" x14ac:dyDescent="0.25">
      <c r="A60" s="26"/>
      <c r="B60" s="26"/>
      <c r="C60" s="27"/>
      <c r="D60" s="62"/>
      <c r="E60" s="28"/>
      <c r="H60" s="29"/>
    </row>
    <row r="61" spans="1:8" ht="35.1" customHeight="1" x14ac:dyDescent="0.25">
      <c r="A61" s="274">
        <v>7</v>
      </c>
      <c r="B61" s="322" t="s">
        <v>77</v>
      </c>
      <c r="C61" s="320" t="s">
        <v>78</v>
      </c>
      <c r="D61" s="327"/>
      <c r="E61" s="21">
        <v>2</v>
      </c>
      <c r="F61" s="8" t="str">
        <f>IF(OR(ISBLANK(E61),E61&lt;2,E61&gt;4),"Salah isi","judge")</f>
        <v>judge</v>
      </c>
      <c r="H61" s="202" t="s">
        <v>741</v>
      </c>
    </row>
    <row r="62" spans="1:8" ht="29.1" customHeight="1" x14ac:dyDescent="0.25">
      <c r="A62" s="275"/>
      <c r="B62" s="293"/>
      <c r="C62" s="30">
        <v>4</v>
      </c>
      <c r="D62" s="61" t="s">
        <v>79</v>
      </c>
      <c r="E62" s="31"/>
      <c r="H62" s="29"/>
    </row>
    <row r="63" spans="1:8" ht="43.7" customHeight="1" x14ac:dyDescent="0.25">
      <c r="A63" s="275"/>
      <c r="B63" s="293"/>
      <c r="C63" s="30">
        <v>3</v>
      </c>
      <c r="D63" s="61" t="s">
        <v>80</v>
      </c>
      <c r="E63" s="31"/>
      <c r="H63" s="29"/>
    </row>
    <row r="64" spans="1:8" ht="43.7" customHeight="1" x14ac:dyDescent="0.25">
      <c r="A64" s="275"/>
      <c r="B64" s="293"/>
      <c r="C64" s="30">
        <v>2</v>
      </c>
      <c r="D64" s="61" t="s">
        <v>81</v>
      </c>
      <c r="E64" s="31"/>
      <c r="H64" s="29"/>
    </row>
    <row r="65" spans="1:8" x14ac:dyDescent="0.25">
      <c r="A65" s="275"/>
      <c r="B65" s="293"/>
      <c r="C65" s="30">
        <v>1</v>
      </c>
      <c r="D65" s="350" t="s">
        <v>82</v>
      </c>
      <c r="E65" s="354"/>
      <c r="H65" s="29"/>
    </row>
    <row r="66" spans="1:8" x14ac:dyDescent="0.25">
      <c r="A66" s="275"/>
      <c r="B66" s="293"/>
      <c r="C66" s="30">
        <v>0</v>
      </c>
      <c r="D66" s="330"/>
      <c r="E66" s="355"/>
      <c r="H66" s="29"/>
    </row>
    <row r="67" spans="1:8" ht="59.45" customHeight="1" x14ac:dyDescent="0.25">
      <c r="A67" s="275"/>
      <c r="B67" s="293"/>
      <c r="C67" s="347" t="s">
        <v>83</v>
      </c>
      <c r="D67" s="325"/>
      <c r="E67" s="33">
        <v>3</v>
      </c>
      <c r="F67" s="8" t="str">
        <f>IF(OR(ISBLANK(E67),E67&lt;1,E67&gt;4),"Salah isi","judge")</f>
        <v>judge</v>
      </c>
      <c r="H67" s="29"/>
    </row>
    <row r="68" spans="1:8" ht="72.95" customHeight="1" x14ac:dyDescent="0.25">
      <c r="A68" s="275"/>
      <c r="B68" s="293"/>
      <c r="C68" s="30">
        <v>4</v>
      </c>
      <c r="D68" s="61" t="s">
        <v>84</v>
      </c>
      <c r="E68" s="31"/>
      <c r="H68" s="29"/>
    </row>
    <row r="69" spans="1:8" ht="58.35" customHeight="1" x14ac:dyDescent="0.25">
      <c r="A69" s="275"/>
      <c r="B69" s="293"/>
      <c r="C69" s="30">
        <v>3</v>
      </c>
      <c r="D69" s="61" t="s">
        <v>85</v>
      </c>
      <c r="E69" s="31"/>
      <c r="H69" s="29"/>
    </row>
    <row r="70" spans="1:8" ht="29.1" customHeight="1" x14ac:dyDescent="0.25">
      <c r="A70" s="275"/>
      <c r="B70" s="293"/>
      <c r="C70" s="30">
        <v>2</v>
      </c>
      <c r="D70" s="61" t="s">
        <v>86</v>
      </c>
      <c r="E70" s="31"/>
      <c r="H70" s="29"/>
    </row>
    <row r="71" spans="1:8" ht="29.1" customHeight="1" x14ac:dyDescent="0.25">
      <c r="A71" s="275"/>
      <c r="B71" s="293"/>
      <c r="C71" s="30">
        <v>1</v>
      </c>
      <c r="D71" s="61" t="s">
        <v>87</v>
      </c>
      <c r="E71" s="31"/>
      <c r="H71" s="29"/>
    </row>
    <row r="72" spans="1:8" x14ac:dyDescent="0.25">
      <c r="A72" s="275"/>
      <c r="B72" s="293"/>
      <c r="C72" s="30">
        <v>0</v>
      </c>
      <c r="D72" s="61" t="s">
        <v>75</v>
      </c>
      <c r="E72" s="32"/>
      <c r="H72" s="29"/>
    </row>
    <row r="73" spans="1:8" ht="15" customHeight="1" x14ac:dyDescent="0.25">
      <c r="A73" s="276"/>
      <c r="B73" s="294"/>
      <c r="C73" s="289" t="s">
        <v>76</v>
      </c>
      <c r="D73" s="326"/>
      <c r="E73" s="25">
        <f>IF(OR(F61="Salah isi",F67="Salah isi"),0,(E61+2*E67)/3)</f>
        <v>2.6666666666666665</v>
      </c>
      <c r="H73" s="29"/>
    </row>
    <row r="74" spans="1:8" ht="15" customHeight="1" x14ac:dyDescent="0.25">
      <c r="A74" s="26"/>
      <c r="B74" s="26"/>
      <c r="C74" s="27"/>
      <c r="D74" s="62"/>
      <c r="E74" s="28"/>
      <c r="H74" s="29"/>
    </row>
    <row r="75" spans="1:8" ht="120" customHeight="1" x14ac:dyDescent="0.25">
      <c r="A75" s="274">
        <v>8</v>
      </c>
      <c r="B75" s="322" t="s">
        <v>88</v>
      </c>
      <c r="C75" s="338" t="s">
        <v>89</v>
      </c>
      <c r="D75" s="327"/>
      <c r="E75" s="21">
        <v>3</v>
      </c>
      <c r="F75" s="8" t="str">
        <f>IF(OR(ISBLANK(E75),E75&lt;1,E75&gt;4),"Salah isi","judge")</f>
        <v>judge</v>
      </c>
      <c r="H75" s="202" t="s">
        <v>761</v>
      </c>
    </row>
    <row r="76" spans="1:8" ht="29.1" customHeight="1" x14ac:dyDescent="0.25">
      <c r="A76" s="275"/>
      <c r="B76" s="293"/>
      <c r="C76" s="30">
        <v>4</v>
      </c>
      <c r="D76" s="65" t="s">
        <v>90</v>
      </c>
      <c r="E76" s="31"/>
      <c r="H76" s="29"/>
    </row>
    <row r="77" spans="1:8" ht="29.1" customHeight="1" x14ac:dyDescent="0.25">
      <c r="A77" s="275"/>
      <c r="B77" s="293"/>
      <c r="C77" s="30">
        <v>3</v>
      </c>
      <c r="D77" s="65" t="s">
        <v>91</v>
      </c>
      <c r="E77" s="31"/>
      <c r="H77" s="29"/>
    </row>
    <row r="78" spans="1:8" ht="29.1" customHeight="1" x14ac:dyDescent="0.25">
      <c r="A78" s="275"/>
      <c r="B78" s="293"/>
      <c r="C78" s="30">
        <v>2</v>
      </c>
      <c r="D78" s="65" t="s">
        <v>92</v>
      </c>
      <c r="E78" s="31"/>
      <c r="H78" s="29"/>
    </row>
    <row r="79" spans="1:8" x14ac:dyDescent="0.25">
      <c r="A79" s="275"/>
      <c r="B79" s="293"/>
      <c r="C79" s="30">
        <v>1</v>
      </c>
      <c r="D79" s="65" t="s">
        <v>93</v>
      </c>
      <c r="E79" s="31"/>
      <c r="H79" s="29"/>
    </row>
    <row r="80" spans="1:8" x14ac:dyDescent="0.25">
      <c r="A80" s="275"/>
      <c r="B80" s="293"/>
      <c r="C80" s="30">
        <v>0</v>
      </c>
      <c r="D80" s="65" t="s">
        <v>75</v>
      </c>
      <c r="E80" s="32"/>
      <c r="H80" s="29"/>
    </row>
    <row r="81" spans="1:8" ht="15" customHeight="1" x14ac:dyDescent="0.25">
      <c r="A81" s="276"/>
      <c r="B81" s="294"/>
      <c r="C81" s="339" t="s">
        <v>36</v>
      </c>
      <c r="D81" s="340"/>
      <c r="E81" s="34">
        <f>IF(F75="Salah isi",0,E75)</f>
        <v>3</v>
      </c>
      <c r="H81" s="29"/>
    </row>
    <row r="82" spans="1:8" ht="15" customHeight="1" x14ac:dyDescent="0.25">
      <c r="A82" s="26"/>
      <c r="B82" s="26"/>
      <c r="C82" s="35"/>
      <c r="D82" s="66"/>
      <c r="E82" s="28"/>
      <c r="H82" s="29"/>
    </row>
    <row r="83" spans="1:8" ht="51" customHeight="1" x14ac:dyDescent="0.25">
      <c r="A83" s="274">
        <v>9</v>
      </c>
      <c r="B83" s="341"/>
      <c r="C83" s="323" t="s">
        <v>94</v>
      </c>
      <c r="D83" s="323"/>
      <c r="E83" s="36"/>
      <c r="H83" s="202" t="s">
        <v>699</v>
      </c>
    </row>
    <row r="84" spans="1:8" ht="15.75" customHeight="1" x14ac:dyDescent="0.35">
      <c r="A84" s="275"/>
      <c r="B84" s="342"/>
      <c r="C84" s="343" t="s">
        <v>95</v>
      </c>
      <c r="D84" s="343"/>
      <c r="E84" s="258">
        <v>9</v>
      </c>
      <c r="F84" s="8" t="s">
        <v>96</v>
      </c>
      <c r="G84" s="37"/>
      <c r="H84" s="29"/>
    </row>
    <row r="85" spans="1:8" ht="15.75" customHeight="1" x14ac:dyDescent="0.35">
      <c r="A85" s="275"/>
      <c r="B85" s="342"/>
      <c r="C85" s="343" t="s">
        <v>97</v>
      </c>
      <c r="D85" s="343"/>
      <c r="E85" s="258">
        <v>5</v>
      </c>
      <c r="F85" s="8" t="s">
        <v>96</v>
      </c>
      <c r="G85" s="37"/>
      <c r="H85" s="29"/>
    </row>
    <row r="86" spans="1:8" ht="15.75" customHeight="1" x14ac:dyDescent="0.35">
      <c r="A86" s="275"/>
      <c r="B86" s="342"/>
      <c r="C86" s="343" t="s">
        <v>98</v>
      </c>
      <c r="D86" s="343"/>
      <c r="E86" s="258">
        <v>5</v>
      </c>
      <c r="F86" s="8" t="s">
        <v>96</v>
      </c>
      <c r="G86" s="37"/>
      <c r="H86" s="29"/>
    </row>
    <row r="87" spans="1:8" ht="47.45" customHeight="1" x14ac:dyDescent="0.25">
      <c r="A87" s="275"/>
      <c r="B87" s="342"/>
      <c r="C87" s="299" t="s">
        <v>99</v>
      </c>
      <c r="D87" s="300"/>
      <c r="E87" s="258">
        <v>12</v>
      </c>
      <c r="F87" s="8" t="s">
        <v>96</v>
      </c>
      <c r="G87" s="37"/>
      <c r="H87" s="29"/>
    </row>
    <row r="88" spans="1:8" x14ac:dyDescent="0.25">
      <c r="A88" s="275"/>
      <c r="B88" s="342"/>
      <c r="C88" s="335" t="s">
        <v>100</v>
      </c>
      <c r="D88" s="335"/>
      <c r="E88" s="54">
        <f>IF(E87&gt;0,(D89*E84+D90*E85+D91*E86)/E87,0)</f>
        <v>3.5</v>
      </c>
      <c r="G88" s="41"/>
      <c r="H88" s="29"/>
    </row>
    <row r="89" spans="1:8" ht="14.45" hidden="1" customHeight="1" x14ac:dyDescent="0.25">
      <c r="A89" s="275"/>
      <c r="B89" s="342"/>
      <c r="C89" s="139" t="s">
        <v>101</v>
      </c>
      <c r="D89" s="139">
        <v>3</v>
      </c>
      <c r="E89" s="117"/>
      <c r="G89" s="41"/>
      <c r="H89" s="29"/>
    </row>
    <row r="90" spans="1:8" ht="14.45" hidden="1" customHeight="1" x14ac:dyDescent="0.25">
      <c r="A90" s="275"/>
      <c r="B90" s="342"/>
      <c r="C90" s="139" t="s">
        <v>102</v>
      </c>
      <c r="D90" s="139">
        <v>2</v>
      </c>
      <c r="E90" s="117"/>
      <c r="G90" s="41"/>
      <c r="H90" s="29"/>
    </row>
    <row r="91" spans="1:8" ht="14.45" hidden="1" customHeight="1" x14ac:dyDescent="0.25">
      <c r="A91" s="275"/>
      <c r="B91" s="342"/>
      <c r="C91" s="139" t="s">
        <v>103</v>
      </c>
      <c r="D91" s="139">
        <v>1</v>
      </c>
      <c r="E91" s="117"/>
      <c r="G91" s="41"/>
      <c r="H91" s="29"/>
    </row>
    <row r="92" spans="1:8" ht="29.1" hidden="1" customHeight="1" x14ac:dyDescent="0.25">
      <c r="A92" s="275"/>
      <c r="B92" s="342"/>
      <c r="C92" s="139" t="s">
        <v>104</v>
      </c>
      <c r="D92" s="139">
        <v>4</v>
      </c>
      <c r="E92" s="117"/>
      <c r="G92" s="41"/>
      <c r="H92" s="29"/>
    </row>
    <row r="93" spans="1:8" ht="15" customHeight="1" x14ac:dyDescent="0.25">
      <c r="A93" s="275"/>
      <c r="B93" s="342"/>
      <c r="C93" s="283" t="s">
        <v>105</v>
      </c>
      <c r="D93" s="324"/>
      <c r="E93" s="25">
        <f>IF(E88&gt;=D92,4,E88)</f>
        <v>3.5</v>
      </c>
      <c r="G93" s="38"/>
      <c r="H93" s="29"/>
    </row>
    <row r="94" spans="1:8" ht="45.6" customHeight="1" x14ac:dyDescent="0.25">
      <c r="A94" s="275"/>
      <c r="B94" s="342"/>
      <c r="C94" s="323" t="s">
        <v>106</v>
      </c>
      <c r="D94" s="323"/>
      <c r="E94" s="80"/>
      <c r="G94" s="38"/>
      <c r="H94" s="29"/>
    </row>
    <row r="95" spans="1:8" ht="15.75" customHeight="1" x14ac:dyDescent="0.35">
      <c r="A95" s="275"/>
      <c r="B95" s="342"/>
      <c r="C95" s="344" t="s">
        <v>107</v>
      </c>
      <c r="D95" s="345"/>
      <c r="E95" s="259">
        <v>0</v>
      </c>
      <c r="F95" s="8" t="s">
        <v>96</v>
      </c>
      <c r="G95" s="37"/>
      <c r="H95" s="29"/>
    </row>
    <row r="96" spans="1:8" ht="15.75" customHeight="1" x14ac:dyDescent="0.35">
      <c r="A96" s="275"/>
      <c r="B96" s="342"/>
      <c r="C96" s="344" t="s">
        <v>108</v>
      </c>
      <c r="D96" s="345"/>
      <c r="E96" s="258">
        <v>9</v>
      </c>
      <c r="F96" s="8" t="s">
        <v>96</v>
      </c>
      <c r="G96" s="37"/>
      <c r="H96" s="29"/>
    </row>
    <row r="97" spans="1:8" ht="15.75" customHeight="1" x14ac:dyDescent="0.35">
      <c r="A97" s="275"/>
      <c r="B97" s="342"/>
      <c r="C97" s="344" t="s">
        <v>109</v>
      </c>
      <c r="D97" s="345"/>
      <c r="E97" s="258">
        <v>10</v>
      </c>
      <c r="F97" s="8" t="s">
        <v>96</v>
      </c>
      <c r="G97" s="37"/>
      <c r="H97" s="29"/>
    </row>
    <row r="98" spans="1:8" ht="14.45" hidden="1" customHeight="1" x14ac:dyDescent="0.25">
      <c r="A98" s="275"/>
      <c r="B98" s="342"/>
      <c r="C98" s="203" t="s">
        <v>101</v>
      </c>
      <c r="D98" s="204">
        <v>2</v>
      </c>
      <c r="E98" s="117"/>
      <c r="G98" s="41"/>
      <c r="H98" s="29"/>
    </row>
    <row r="99" spans="1:8" ht="14.45" hidden="1" customHeight="1" x14ac:dyDescent="0.25">
      <c r="A99" s="275"/>
      <c r="B99" s="342"/>
      <c r="C99" s="203" t="s">
        <v>102</v>
      </c>
      <c r="D99" s="204">
        <v>6</v>
      </c>
      <c r="E99" s="117"/>
      <c r="G99" s="41"/>
      <c r="H99" s="29"/>
    </row>
    <row r="100" spans="1:8" ht="14.45" hidden="1" customHeight="1" x14ac:dyDescent="0.25">
      <c r="A100" s="275"/>
      <c r="B100" s="342"/>
      <c r="C100" s="203" t="s">
        <v>103</v>
      </c>
      <c r="D100" s="204">
        <v>9</v>
      </c>
      <c r="E100" s="117"/>
      <c r="G100" s="81"/>
      <c r="H100" s="29"/>
    </row>
    <row r="101" spans="1:8" ht="14.45" hidden="1" customHeight="1" x14ac:dyDescent="0.25">
      <c r="A101" s="275"/>
      <c r="B101" s="342"/>
      <c r="C101" s="119"/>
      <c r="D101" s="120" t="s">
        <v>110</v>
      </c>
      <c r="E101" s="121" t="str">
        <f>IF(E95&gt;=D98,"YES","NO")</f>
        <v>NO</v>
      </c>
      <c r="G101" s="82"/>
      <c r="H101" s="29"/>
    </row>
    <row r="102" spans="1:8" ht="14.45" hidden="1" customHeight="1" x14ac:dyDescent="0.25">
      <c r="A102" s="275"/>
      <c r="B102" s="342"/>
      <c r="C102" s="119"/>
      <c r="D102" s="120" t="s">
        <v>111</v>
      </c>
      <c r="E102" s="121" t="str">
        <f>IF(AND(E95&lt;D98,E96&gt;=D99),"YES","NO")</f>
        <v>YES</v>
      </c>
      <c r="G102" s="82"/>
      <c r="H102" s="29"/>
    </row>
    <row r="103" spans="1:8" ht="14.45" hidden="1" customHeight="1" x14ac:dyDescent="0.25">
      <c r="A103" s="275"/>
      <c r="B103" s="342"/>
      <c r="C103" s="119"/>
      <c r="D103" s="120" t="s">
        <v>112</v>
      </c>
      <c r="E103" s="121" t="str">
        <f>IF(OR(AND(E95&gt;0,E95&lt;D98,E96=0),AND(E96&gt;0,E96&lt;D99,E95=0),AND(E95&gt;0,E95&lt;D98,E96&gt;0,E96&lt;D99)),"YES","NO")</f>
        <v>NO</v>
      </c>
      <c r="G103" s="41"/>
      <c r="H103" s="29"/>
    </row>
    <row r="104" spans="1:8" ht="14.45" hidden="1" customHeight="1" x14ac:dyDescent="0.25">
      <c r="A104" s="275"/>
      <c r="B104" s="342"/>
      <c r="C104" s="119"/>
      <c r="D104" s="120" t="s">
        <v>113</v>
      </c>
      <c r="E104" s="121" t="str">
        <f>IF(AND(E95=0,E96=0,E97&gt;=D100),"YES","NO")</f>
        <v>NO</v>
      </c>
      <c r="G104" s="41"/>
      <c r="H104" s="29"/>
    </row>
    <row r="105" spans="1:8" ht="14.45" hidden="1" customHeight="1" x14ac:dyDescent="0.25">
      <c r="A105" s="275"/>
      <c r="B105" s="342"/>
      <c r="C105" s="119"/>
      <c r="D105" s="120" t="s">
        <v>114</v>
      </c>
      <c r="E105" s="121" t="str">
        <f>IF(AND(E95=0,E96=0,E97&lt;D100),"YES","NO")</f>
        <v>NO</v>
      </c>
      <c r="G105" s="41"/>
      <c r="H105" s="29"/>
    </row>
    <row r="106" spans="1:8" ht="14.45" hidden="1" customHeight="1" x14ac:dyDescent="0.25">
      <c r="A106" s="275"/>
      <c r="B106" s="342"/>
      <c r="C106" s="305"/>
      <c r="D106" s="306"/>
      <c r="E106" s="205"/>
      <c r="G106" s="41"/>
      <c r="H106" s="29"/>
    </row>
    <row r="107" spans="1:8" ht="15" customHeight="1" x14ac:dyDescent="0.25">
      <c r="A107" s="275"/>
      <c r="B107" s="342"/>
      <c r="C107" s="348" t="s">
        <v>115</v>
      </c>
      <c r="D107" s="349"/>
      <c r="E107" s="206">
        <f>IF(E101="YES",4,IF(E102="YES",3+E95/D98,IF(E103="YES",2+2*E95/D98+E96/D99-(E95*E96)/(D98*D99),IF(E104="YES",2,2*E97/D100))))</f>
        <v>3</v>
      </c>
      <c r="G107" s="38"/>
      <c r="H107" s="29"/>
    </row>
    <row r="108" spans="1:8" ht="15" customHeight="1" x14ac:dyDescent="0.25">
      <c r="A108" s="276"/>
      <c r="B108" s="334"/>
      <c r="C108" s="283" t="s">
        <v>116</v>
      </c>
      <c r="D108" s="324"/>
      <c r="E108" s="25">
        <f>(2*E93+E107)/3</f>
        <v>3.3333333333333335</v>
      </c>
      <c r="G108" s="38"/>
      <c r="H108" s="29"/>
    </row>
    <row r="109" spans="1:8" ht="15" customHeight="1" x14ac:dyDescent="0.25">
      <c r="C109" s="39"/>
      <c r="D109" s="67"/>
      <c r="H109" s="40"/>
    </row>
    <row r="110" spans="1:8" ht="48" customHeight="1" x14ac:dyDescent="0.25">
      <c r="A110" s="274">
        <v>10</v>
      </c>
      <c r="B110" s="322" t="s">
        <v>117</v>
      </c>
      <c r="C110" s="320" t="s">
        <v>118</v>
      </c>
      <c r="D110" s="327"/>
      <c r="E110" s="21">
        <v>2</v>
      </c>
      <c r="F110" s="8" t="str">
        <f>IF(OR(ISBLANK(E110),E110&lt;2,E110&gt;4),"Salah isi","judge")</f>
        <v>judge</v>
      </c>
      <c r="H110" s="202" t="s">
        <v>700</v>
      </c>
    </row>
    <row r="111" spans="1:8" ht="87.4" customHeight="1" x14ac:dyDescent="0.25">
      <c r="A111" s="275"/>
      <c r="B111" s="293"/>
      <c r="C111" s="30">
        <v>4</v>
      </c>
      <c r="D111" s="65" t="s">
        <v>119</v>
      </c>
      <c r="E111" s="31"/>
      <c r="H111" s="29"/>
    </row>
    <row r="112" spans="1:8" ht="87.4" customHeight="1" x14ac:dyDescent="0.25">
      <c r="A112" s="275"/>
      <c r="B112" s="293"/>
      <c r="C112" s="30">
        <v>3</v>
      </c>
      <c r="D112" s="65" t="s">
        <v>120</v>
      </c>
      <c r="E112" s="31"/>
      <c r="H112" s="29"/>
    </row>
    <row r="113" spans="1:8" x14ac:dyDescent="0.25">
      <c r="A113" s="275"/>
      <c r="B113" s="293"/>
      <c r="C113" s="30">
        <v>2</v>
      </c>
      <c r="D113" s="65" t="s">
        <v>121</v>
      </c>
      <c r="E113" s="31"/>
      <c r="H113" s="29"/>
    </row>
    <row r="114" spans="1:8" x14ac:dyDescent="0.25">
      <c r="A114" s="275"/>
      <c r="B114" s="293"/>
      <c r="C114" s="30">
        <v>1</v>
      </c>
      <c r="D114" s="335" t="s">
        <v>82</v>
      </c>
      <c r="E114" s="31"/>
      <c r="H114" s="29"/>
    </row>
    <row r="115" spans="1:8" ht="14.85" customHeight="1" x14ac:dyDescent="0.25">
      <c r="A115" s="275"/>
      <c r="B115" s="293"/>
      <c r="C115" s="30">
        <v>0</v>
      </c>
      <c r="D115" s="335"/>
      <c r="E115" s="32"/>
      <c r="H115" s="29"/>
    </row>
    <row r="116" spans="1:8" ht="15" customHeight="1" x14ac:dyDescent="0.25">
      <c r="A116" s="276"/>
      <c r="B116" s="294"/>
      <c r="C116" s="289" t="s">
        <v>36</v>
      </c>
      <c r="D116" s="290"/>
      <c r="E116" s="25">
        <f>IF(F110="Salah isi",0,E110)</f>
        <v>2</v>
      </c>
      <c r="H116" s="29"/>
    </row>
    <row r="117" spans="1:8" ht="15" customHeight="1" x14ac:dyDescent="0.25">
      <c r="A117" s="26"/>
      <c r="B117" s="26"/>
      <c r="C117" s="27"/>
      <c r="D117" s="62"/>
      <c r="E117" s="28"/>
      <c r="H117" s="29"/>
    </row>
    <row r="118" spans="1:8" ht="129" customHeight="1" x14ac:dyDescent="0.25">
      <c r="A118" s="274">
        <v>11</v>
      </c>
      <c r="B118" s="322" t="s">
        <v>122</v>
      </c>
      <c r="C118" s="320" t="s">
        <v>123</v>
      </c>
      <c r="D118" s="327"/>
      <c r="E118" s="21">
        <v>1</v>
      </c>
      <c r="F118" s="8" t="str">
        <f>IF(OR(ISBLANK(E118),E118&gt;4),"Salah isi","judge")</f>
        <v>judge</v>
      </c>
      <c r="H118" s="202" t="s">
        <v>762</v>
      </c>
    </row>
    <row r="119" spans="1:8" ht="43.7" customHeight="1" x14ac:dyDescent="0.25">
      <c r="A119" s="275"/>
      <c r="B119" s="293"/>
      <c r="C119" s="30">
        <v>4</v>
      </c>
      <c r="D119" s="65" t="s">
        <v>124</v>
      </c>
      <c r="E119" s="31"/>
      <c r="H119" s="29"/>
    </row>
    <row r="120" spans="1:8" ht="29.1" customHeight="1" x14ac:dyDescent="0.25">
      <c r="A120" s="275"/>
      <c r="B120" s="293"/>
      <c r="C120" s="30">
        <v>3</v>
      </c>
      <c r="D120" s="65" t="s">
        <v>125</v>
      </c>
      <c r="E120" s="31"/>
      <c r="H120" s="29"/>
    </row>
    <row r="121" spans="1:8" ht="30" x14ac:dyDescent="0.25">
      <c r="A121" s="275"/>
      <c r="B121" s="293"/>
      <c r="C121" s="30">
        <v>2</v>
      </c>
      <c r="D121" s="65" t="s">
        <v>126</v>
      </c>
      <c r="E121" s="31"/>
      <c r="H121" s="29"/>
    </row>
    <row r="122" spans="1:8" ht="28.5" customHeight="1" x14ac:dyDescent="0.25">
      <c r="A122" s="275"/>
      <c r="B122" s="293"/>
      <c r="C122" s="30">
        <v>1</v>
      </c>
      <c r="D122" s="65" t="s">
        <v>127</v>
      </c>
      <c r="E122" s="31"/>
      <c r="H122" s="29"/>
    </row>
    <row r="123" spans="1:8" ht="14.85" customHeight="1" x14ac:dyDescent="0.25">
      <c r="A123" s="275"/>
      <c r="B123" s="293"/>
      <c r="C123" s="30">
        <v>0</v>
      </c>
      <c r="D123" s="65" t="s">
        <v>128</v>
      </c>
      <c r="E123" s="32"/>
      <c r="H123" s="29"/>
    </row>
    <row r="124" spans="1:8" ht="15" customHeight="1" x14ac:dyDescent="0.25">
      <c r="A124" s="276"/>
      <c r="B124" s="294"/>
      <c r="C124" s="289" t="s">
        <v>36</v>
      </c>
      <c r="D124" s="290"/>
      <c r="E124" s="25">
        <f>IF(F118="Salah isi",0,E118)</f>
        <v>1</v>
      </c>
      <c r="H124" s="29"/>
    </row>
    <row r="125" spans="1:8" ht="15" customHeight="1" x14ac:dyDescent="0.25">
      <c r="A125" s="26"/>
      <c r="B125" s="26"/>
      <c r="C125" s="27"/>
      <c r="D125" s="62"/>
      <c r="E125" s="28"/>
      <c r="H125" s="29"/>
    </row>
    <row r="126" spans="1:8" ht="126.6" customHeight="1" x14ac:dyDescent="0.25">
      <c r="A126" s="274">
        <v>12</v>
      </c>
      <c r="B126" s="322" t="s">
        <v>129</v>
      </c>
      <c r="C126" s="320" t="s">
        <v>130</v>
      </c>
      <c r="D126" s="327"/>
      <c r="E126" s="21">
        <v>2.5</v>
      </c>
      <c r="F126" s="8" t="str">
        <f>IF(OR(ISBLANK(E126),E126&gt;4),"Salah isi","judge")</f>
        <v>judge</v>
      </c>
      <c r="H126" s="202" t="s">
        <v>742</v>
      </c>
    </row>
    <row r="127" spans="1:8" x14ac:dyDescent="0.25">
      <c r="A127" s="275"/>
      <c r="B127" s="293"/>
      <c r="C127" s="30">
        <v>4</v>
      </c>
      <c r="D127" s="65" t="s">
        <v>131</v>
      </c>
      <c r="E127" s="31"/>
      <c r="H127" s="29"/>
    </row>
    <row r="128" spans="1:8" ht="29.1" customHeight="1" x14ac:dyDescent="0.25">
      <c r="A128" s="275"/>
      <c r="B128" s="293"/>
      <c r="C128" s="30">
        <v>3</v>
      </c>
      <c r="D128" s="65" t="s">
        <v>132</v>
      </c>
      <c r="E128" s="31"/>
      <c r="H128" s="29" t="s">
        <v>764</v>
      </c>
    </row>
    <row r="129" spans="1:8" ht="29.1" customHeight="1" x14ac:dyDescent="0.25">
      <c r="A129" s="275"/>
      <c r="B129" s="293"/>
      <c r="C129" s="30">
        <v>2</v>
      </c>
      <c r="D129" s="65" t="s">
        <v>133</v>
      </c>
      <c r="E129" s="31"/>
      <c r="H129" s="29"/>
    </row>
    <row r="130" spans="1:8" ht="43.7" customHeight="1" x14ac:dyDescent="0.25">
      <c r="A130" s="275"/>
      <c r="B130" s="293"/>
      <c r="C130" s="30">
        <v>1</v>
      </c>
      <c r="D130" s="65" t="s">
        <v>134</v>
      </c>
      <c r="E130" s="31"/>
      <c r="H130" s="29"/>
    </row>
    <row r="131" spans="1:8" ht="29.1" customHeight="1" x14ac:dyDescent="0.25">
      <c r="A131" s="275"/>
      <c r="B131" s="293"/>
      <c r="C131" s="30">
        <v>0</v>
      </c>
      <c r="D131" s="65" t="s">
        <v>135</v>
      </c>
      <c r="E131" s="32"/>
      <c r="H131" s="29"/>
    </row>
    <row r="132" spans="1:8" ht="15" customHeight="1" x14ac:dyDescent="0.25">
      <c r="A132" s="276"/>
      <c r="B132" s="294"/>
      <c r="C132" s="289" t="s">
        <v>36</v>
      </c>
      <c r="D132" s="326"/>
      <c r="E132" s="25">
        <f>IF(F126="Salah isi",0,E126)</f>
        <v>2.5</v>
      </c>
      <c r="H132" s="29"/>
    </row>
    <row r="133" spans="1:8" ht="15" customHeight="1" x14ac:dyDescent="0.25">
      <c r="A133" s="26"/>
      <c r="B133" s="26"/>
      <c r="C133" s="27"/>
      <c r="D133" s="62"/>
      <c r="E133" s="28"/>
      <c r="H133" s="29"/>
    </row>
    <row r="134" spans="1:8" ht="236.25" customHeight="1" x14ac:dyDescent="0.25">
      <c r="A134" s="274">
        <v>13</v>
      </c>
      <c r="B134" s="322" t="s">
        <v>136</v>
      </c>
      <c r="C134" s="320" t="s">
        <v>137</v>
      </c>
      <c r="D134" s="327"/>
      <c r="E134" s="21">
        <v>2</v>
      </c>
      <c r="F134" s="8" t="str">
        <f>IF(OR(ISBLANK(E134),E134&gt;4),"Salah isi","judge")</f>
        <v>judge</v>
      </c>
      <c r="H134" s="202" t="s">
        <v>743</v>
      </c>
    </row>
    <row r="135" spans="1:8" ht="43.7" customHeight="1" x14ac:dyDescent="0.25">
      <c r="A135" s="275"/>
      <c r="B135" s="293"/>
      <c r="C135" s="30">
        <v>4</v>
      </c>
      <c r="D135" s="65" t="s">
        <v>138</v>
      </c>
      <c r="E135" s="31"/>
      <c r="H135" s="29"/>
    </row>
    <row r="136" spans="1:8" ht="43.7" customHeight="1" x14ac:dyDescent="0.25">
      <c r="A136" s="275"/>
      <c r="B136" s="293"/>
      <c r="C136" s="30">
        <v>3</v>
      </c>
      <c r="D136" s="65" t="s">
        <v>139</v>
      </c>
      <c r="E136" s="31"/>
      <c r="H136" s="29"/>
    </row>
    <row r="137" spans="1:8" ht="43.7" customHeight="1" x14ac:dyDescent="0.25">
      <c r="A137" s="275"/>
      <c r="B137" s="293"/>
      <c r="C137" s="30">
        <v>2</v>
      </c>
      <c r="D137" s="65" t="s">
        <v>140</v>
      </c>
      <c r="E137" s="31"/>
      <c r="H137" s="29"/>
    </row>
    <row r="138" spans="1:8" ht="43.7" customHeight="1" x14ac:dyDescent="0.25">
      <c r="A138" s="275"/>
      <c r="B138" s="293"/>
      <c r="C138" s="30">
        <v>1</v>
      </c>
      <c r="D138" s="65" t="s">
        <v>141</v>
      </c>
      <c r="E138" s="31"/>
      <c r="H138" s="29"/>
    </row>
    <row r="139" spans="1:8" ht="30" x14ac:dyDescent="0.25">
      <c r="A139" s="275"/>
      <c r="B139" s="293"/>
      <c r="C139" s="30">
        <v>0</v>
      </c>
      <c r="D139" s="65" t="s">
        <v>142</v>
      </c>
      <c r="E139" s="32"/>
      <c r="H139" s="29"/>
    </row>
    <row r="140" spans="1:8" ht="15" customHeight="1" x14ac:dyDescent="0.25">
      <c r="A140" s="276"/>
      <c r="B140" s="294"/>
      <c r="C140" s="289" t="s">
        <v>36</v>
      </c>
      <c r="D140" s="290"/>
      <c r="E140" s="25">
        <f>IF(F134="Salah isi",0,E134)</f>
        <v>2</v>
      </c>
      <c r="H140" s="29"/>
    </row>
    <row r="141" spans="1:8" ht="15" customHeight="1" x14ac:dyDescent="0.25">
      <c r="A141" s="26"/>
      <c r="B141" s="26"/>
      <c r="C141" s="27"/>
      <c r="D141" s="62"/>
      <c r="E141" s="28"/>
      <c r="H141" s="29"/>
    </row>
    <row r="142" spans="1:8" ht="32.450000000000003" customHeight="1" x14ac:dyDescent="0.25">
      <c r="A142" s="274">
        <v>14</v>
      </c>
      <c r="B142" s="322" t="s">
        <v>143</v>
      </c>
      <c r="C142" s="323" t="s">
        <v>144</v>
      </c>
      <c r="D142" s="323"/>
      <c r="E142" s="109"/>
      <c r="H142" s="202" t="s">
        <v>701</v>
      </c>
    </row>
    <row r="143" spans="1:8" ht="43.7" customHeight="1" x14ac:dyDescent="0.25">
      <c r="A143" s="275"/>
      <c r="B143" s="293"/>
      <c r="C143" s="172"/>
      <c r="D143" s="83" t="s">
        <v>145</v>
      </c>
      <c r="E143" s="93" t="s">
        <v>146</v>
      </c>
      <c r="H143" s="29"/>
    </row>
    <row r="144" spans="1:8" ht="32.450000000000003" hidden="1" customHeight="1" x14ac:dyDescent="0.25">
      <c r="A144" s="275"/>
      <c r="B144" s="293"/>
      <c r="C144" s="170"/>
      <c r="D144" s="124" t="s">
        <v>147</v>
      </c>
      <c r="E144" s="89" t="s">
        <v>146</v>
      </c>
      <c r="H144" s="29"/>
    </row>
    <row r="145" spans="1:8" ht="14.45" hidden="1" customHeight="1" x14ac:dyDescent="0.25">
      <c r="A145" s="275"/>
      <c r="B145" s="293"/>
      <c r="C145" s="170"/>
      <c r="D145" s="124" t="s">
        <v>148</v>
      </c>
      <c r="E145" s="89" t="s">
        <v>149</v>
      </c>
      <c r="H145" s="29"/>
    </row>
    <row r="146" spans="1:8" ht="14.45" hidden="1" customHeight="1" x14ac:dyDescent="0.25">
      <c r="A146" s="275"/>
      <c r="B146" s="293"/>
      <c r="C146" s="170"/>
      <c r="D146" s="124"/>
      <c r="E146" s="89"/>
      <c r="H146" s="29"/>
    </row>
    <row r="147" spans="1:8" ht="14.45" hidden="1" customHeight="1" x14ac:dyDescent="0.25">
      <c r="A147" s="275"/>
      <c r="B147" s="293"/>
      <c r="C147" s="170"/>
      <c r="D147" s="171"/>
      <c r="E147" s="98"/>
      <c r="H147" s="29"/>
    </row>
    <row r="148" spans="1:8" ht="32.450000000000003" customHeight="1" x14ac:dyDescent="0.25">
      <c r="A148" s="275"/>
      <c r="B148" s="293"/>
      <c r="C148" s="281" t="s">
        <v>150</v>
      </c>
      <c r="D148" s="346"/>
      <c r="E148" s="174"/>
      <c r="H148" s="29"/>
    </row>
    <row r="149" spans="1:8" x14ac:dyDescent="0.25">
      <c r="A149" s="275"/>
      <c r="B149" s="342"/>
      <c r="C149" s="299" t="s">
        <v>151</v>
      </c>
      <c r="D149" s="300"/>
      <c r="E149" s="258">
        <v>495</v>
      </c>
      <c r="F149" s="8" t="s">
        <v>96</v>
      </c>
      <c r="G149" s="37"/>
      <c r="H149" s="29"/>
    </row>
    <row r="150" spans="1:8" x14ac:dyDescent="0.25">
      <c r="A150" s="275"/>
      <c r="B150" s="342"/>
      <c r="C150" s="299" t="s">
        <v>152</v>
      </c>
      <c r="D150" s="300"/>
      <c r="E150" s="258">
        <v>129</v>
      </c>
      <c r="F150" s="8" t="s">
        <v>96</v>
      </c>
      <c r="G150" s="37"/>
      <c r="H150" s="29"/>
    </row>
    <row r="151" spans="1:8" x14ac:dyDescent="0.25">
      <c r="A151" s="275"/>
      <c r="B151" s="342"/>
      <c r="C151" s="299" t="s">
        <v>153</v>
      </c>
      <c r="D151" s="300"/>
      <c r="E151" s="54">
        <f>IF(E150&gt;0,E149/E150,0)</f>
        <v>3.8372093023255816</v>
      </c>
      <c r="G151" s="42"/>
      <c r="H151" s="29"/>
    </row>
    <row r="152" spans="1:8" ht="14.45" hidden="1" customHeight="1" x14ac:dyDescent="0.25">
      <c r="A152" s="275"/>
      <c r="B152" s="342"/>
      <c r="C152" s="137" t="s">
        <v>154</v>
      </c>
      <c r="D152" s="138">
        <v>5</v>
      </c>
      <c r="E152" s="91"/>
      <c r="G152" s="42"/>
      <c r="H152" s="29"/>
    </row>
    <row r="153" spans="1:8" ht="15" customHeight="1" x14ac:dyDescent="0.25">
      <c r="A153" s="275"/>
      <c r="B153" s="342"/>
      <c r="C153" s="336" t="s">
        <v>36</v>
      </c>
      <c r="D153" s="337"/>
      <c r="E153" s="173">
        <f>IF(E151&gt;=D152,4,4/D152*E151)</f>
        <v>3.0697674418604652</v>
      </c>
      <c r="G153" s="42"/>
      <c r="H153" s="29"/>
    </row>
    <row r="154" spans="1:8" ht="36" customHeight="1" x14ac:dyDescent="0.25">
      <c r="A154" s="275"/>
      <c r="B154" s="342"/>
      <c r="C154" s="277" t="s">
        <v>155</v>
      </c>
      <c r="D154" s="278"/>
      <c r="E154" s="21">
        <v>4</v>
      </c>
      <c r="F154" s="8" t="str">
        <f>IF(E143="Tinggi","Tidak diisi",IF(OR(ISBLANK(E154),AND(E154&gt;2,E154&lt;4),AND(E154&gt;0,E154&lt;2),E154&gt;4),"Salah isi","judge"))</f>
        <v>Tidak diisi</v>
      </c>
      <c r="G154" s="42"/>
      <c r="H154" s="29"/>
    </row>
    <row r="155" spans="1:8" x14ac:dyDescent="0.25">
      <c r="A155" s="275"/>
      <c r="B155" s="342"/>
      <c r="C155" s="30">
        <v>4</v>
      </c>
      <c r="D155" s="65" t="s">
        <v>156</v>
      </c>
      <c r="E155" s="84"/>
      <c r="G155" s="42"/>
      <c r="H155" s="29"/>
    </row>
    <row r="156" spans="1:8" x14ac:dyDescent="0.25">
      <c r="A156" s="275"/>
      <c r="B156" s="342"/>
      <c r="C156" s="30">
        <v>3</v>
      </c>
      <c r="D156" s="65" t="s">
        <v>157</v>
      </c>
      <c r="E156" s="84"/>
      <c r="G156" s="42"/>
      <c r="H156" s="29"/>
    </row>
    <row r="157" spans="1:8" x14ac:dyDescent="0.25">
      <c r="A157" s="275"/>
      <c r="B157" s="342"/>
      <c r="C157" s="30">
        <v>2</v>
      </c>
      <c r="D157" s="65" t="s">
        <v>158</v>
      </c>
      <c r="E157" s="84"/>
      <c r="G157" s="42"/>
      <c r="H157" s="29"/>
    </row>
    <row r="158" spans="1:8" x14ac:dyDescent="0.25">
      <c r="A158" s="275"/>
      <c r="B158" s="342"/>
      <c r="C158" s="30">
        <v>1</v>
      </c>
      <c r="D158" s="65" t="s">
        <v>159</v>
      </c>
      <c r="E158" s="84"/>
      <c r="G158" s="42"/>
      <c r="H158" s="29"/>
    </row>
    <row r="159" spans="1:8" ht="15" customHeight="1" x14ac:dyDescent="0.25">
      <c r="A159" s="275"/>
      <c r="B159" s="342"/>
      <c r="C159" s="85">
        <v>0</v>
      </c>
      <c r="D159" s="86" t="s">
        <v>160</v>
      </c>
      <c r="E159" s="175"/>
      <c r="G159" s="42"/>
      <c r="H159" s="29"/>
    </row>
    <row r="160" spans="1:8" ht="15" customHeight="1" x14ac:dyDescent="0.25">
      <c r="A160" s="276"/>
      <c r="B160" s="334"/>
      <c r="C160" s="279" t="s">
        <v>36</v>
      </c>
      <c r="D160" s="280"/>
      <c r="E160" s="176">
        <f>IF(E143="Tinggi",E153,IF(AND(E143="Rendah",F154="Salah Isi"),0,E154))</f>
        <v>3.0697674418604652</v>
      </c>
      <c r="G160" s="43"/>
      <c r="H160" s="29"/>
    </row>
    <row r="161" spans="1:8" ht="15" customHeight="1" x14ac:dyDescent="0.25">
      <c r="C161" s="39"/>
      <c r="D161" s="67"/>
      <c r="H161" s="40"/>
    </row>
    <row r="162" spans="1:8" ht="35.450000000000003" customHeight="1" x14ac:dyDescent="0.25">
      <c r="A162" s="274">
        <v>15</v>
      </c>
      <c r="B162" s="322" t="s">
        <v>161</v>
      </c>
      <c r="C162" s="323" t="s">
        <v>162</v>
      </c>
      <c r="D162" s="323"/>
      <c r="E162" s="21">
        <v>2</v>
      </c>
      <c r="F162" s="8" t="str">
        <f>IF(OR(ISBLANK(E162),E162&gt;4),"Salah isi","judge")</f>
        <v>judge</v>
      </c>
      <c r="H162" s="202" t="s">
        <v>702</v>
      </c>
    </row>
    <row r="163" spans="1:8" ht="45" customHeight="1" x14ac:dyDescent="0.25">
      <c r="A163" s="275"/>
      <c r="B163" s="293"/>
      <c r="C163" s="30">
        <v>4</v>
      </c>
      <c r="D163" s="65" t="s">
        <v>163</v>
      </c>
      <c r="E163" s="84"/>
      <c r="H163" s="29"/>
    </row>
    <row r="164" spans="1:8" ht="45" customHeight="1" x14ac:dyDescent="0.25">
      <c r="A164" s="275"/>
      <c r="B164" s="293"/>
      <c r="C164" s="30">
        <v>3</v>
      </c>
      <c r="D164" s="65" t="s">
        <v>164</v>
      </c>
      <c r="E164" s="84"/>
      <c r="H164" s="29"/>
    </row>
    <row r="165" spans="1:8" ht="29.1" customHeight="1" x14ac:dyDescent="0.25">
      <c r="A165" s="275"/>
      <c r="B165" s="293"/>
      <c r="C165" s="30">
        <v>2</v>
      </c>
      <c r="D165" s="65" t="s">
        <v>165</v>
      </c>
      <c r="E165" s="84"/>
      <c r="H165" s="29"/>
    </row>
    <row r="166" spans="1:8" ht="29.1" customHeight="1" x14ac:dyDescent="0.25">
      <c r="A166" s="275"/>
      <c r="B166" s="293"/>
      <c r="C166" s="30">
        <v>1</v>
      </c>
      <c r="D166" s="65" t="s">
        <v>166</v>
      </c>
      <c r="E166" s="84"/>
      <c r="H166" s="29"/>
    </row>
    <row r="167" spans="1:8" ht="29.1" customHeight="1" x14ac:dyDescent="0.25">
      <c r="A167" s="275"/>
      <c r="B167" s="293"/>
      <c r="C167" s="85">
        <v>0</v>
      </c>
      <c r="D167" s="86" t="s">
        <v>167</v>
      </c>
      <c r="E167" s="87"/>
      <c r="H167" s="29"/>
    </row>
    <row r="168" spans="1:8" ht="32.450000000000003" customHeight="1" x14ac:dyDescent="0.25">
      <c r="A168" s="275"/>
      <c r="B168" s="293"/>
      <c r="C168" s="335" t="s">
        <v>168</v>
      </c>
      <c r="D168" s="335"/>
      <c r="E168" s="178"/>
      <c r="H168" s="29"/>
    </row>
    <row r="169" spans="1:8" ht="33.6" customHeight="1" x14ac:dyDescent="0.25">
      <c r="A169" s="275"/>
      <c r="B169" s="293"/>
      <c r="C169" s="299" t="s">
        <v>169</v>
      </c>
      <c r="D169" s="300"/>
      <c r="E169" s="260">
        <v>0</v>
      </c>
      <c r="F169" s="8" t="s">
        <v>96</v>
      </c>
      <c r="G169" s="37"/>
      <c r="H169" s="29"/>
    </row>
    <row r="170" spans="1:8" ht="33.6" customHeight="1" x14ac:dyDescent="0.25">
      <c r="A170" s="275"/>
      <c r="B170" s="293"/>
      <c r="C170" s="299" t="s">
        <v>170</v>
      </c>
      <c r="D170" s="300"/>
      <c r="E170" s="260">
        <v>0</v>
      </c>
      <c r="F170" s="8" t="s">
        <v>96</v>
      </c>
      <c r="G170" s="37"/>
      <c r="H170" s="29"/>
    </row>
    <row r="171" spans="1:8" ht="33.6" customHeight="1" x14ac:dyDescent="0.25">
      <c r="A171" s="275"/>
      <c r="B171" s="293"/>
      <c r="C171" s="299" t="s">
        <v>171</v>
      </c>
      <c r="D171" s="300"/>
      <c r="E171" s="260">
        <v>0</v>
      </c>
      <c r="F171" s="8" t="s">
        <v>96</v>
      </c>
      <c r="G171" s="37"/>
      <c r="H171" s="29"/>
    </row>
    <row r="172" spans="1:8" ht="14.45" customHeight="1" x14ac:dyDescent="0.25">
      <c r="A172" s="275"/>
      <c r="B172" s="293"/>
      <c r="C172" s="299" t="s">
        <v>172</v>
      </c>
      <c r="D172" s="300"/>
      <c r="E172" s="180">
        <f>IF(E169&gt;0,(E170+E171)/E169,0)</f>
        <v>0</v>
      </c>
      <c r="G172" s="42"/>
      <c r="H172" s="29"/>
    </row>
    <row r="173" spans="1:8" ht="14.45" hidden="1" customHeight="1" x14ac:dyDescent="0.25">
      <c r="A173" s="275"/>
      <c r="B173" s="293"/>
      <c r="C173" s="137" t="s">
        <v>154</v>
      </c>
      <c r="D173" s="145">
        <v>0.01</v>
      </c>
      <c r="E173" s="91"/>
      <c r="G173" s="42"/>
      <c r="H173" s="29"/>
    </row>
    <row r="174" spans="1:8" ht="15" customHeight="1" x14ac:dyDescent="0.25">
      <c r="A174" s="275"/>
      <c r="B174" s="293"/>
      <c r="C174" s="336" t="s">
        <v>115</v>
      </c>
      <c r="D174" s="337"/>
      <c r="E174" s="179">
        <f>IF(E172&gt;=D173,4,2+2/D173*E172)</f>
        <v>2</v>
      </c>
      <c r="G174" s="42"/>
      <c r="H174" s="29"/>
    </row>
    <row r="175" spans="1:8" ht="15" customHeight="1" x14ac:dyDescent="0.25">
      <c r="A175" s="276"/>
      <c r="B175" s="334"/>
      <c r="C175" s="283" t="s">
        <v>116</v>
      </c>
      <c r="D175" s="324"/>
      <c r="E175" s="25">
        <f>IF(F162="Salah isi",0,(2*E162+E174)/3)</f>
        <v>2</v>
      </c>
      <c r="G175" s="43"/>
      <c r="H175" s="29"/>
    </row>
    <row r="176" spans="1:8" ht="15" customHeight="1" x14ac:dyDescent="0.25">
      <c r="C176" s="39"/>
      <c r="D176" s="67"/>
      <c r="H176" s="40"/>
    </row>
    <row r="177" spans="1:8" ht="80.099999999999994" customHeight="1" x14ac:dyDescent="0.25">
      <c r="A177" s="274">
        <v>16</v>
      </c>
      <c r="B177" s="322" t="s">
        <v>173</v>
      </c>
      <c r="C177" s="320" t="s">
        <v>174</v>
      </c>
      <c r="D177" s="327"/>
      <c r="E177" s="21">
        <v>2.5</v>
      </c>
      <c r="F177" s="8" t="str">
        <f>IF(OR(ISBLANK(E177),E177&gt;4),"Salah isi","judge")</f>
        <v>judge</v>
      </c>
      <c r="H177" s="202" t="s">
        <v>703</v>
      </c>
    </row>
    <row r="178" spans="1:8" ht="43.7" customHeight="1" x14ac:dyDescent="0.25">
      <c r="A178" s="275"/>
      <c r="B178" s="293"/>
      <c r="C178" s="30">
        <v>4</v>
      </c>
      <c r="D178" s="65" t="s">
        <v>175</v>
      </c>
      <c r="E178" s="31"/>
      <c r="H178" s="29"/>
    </row>
    <row r="179" spans="1:8" ht="43.7" customHeight="1" x14ac:dyDescent="0.25">
      <c r="A179" s="275"/>
      <c r="B179" s="293"/>
      <c r="C179" s="30">
        <v>3</v>
      </c>
      <c r="D179" s="65" t="s">
        <v>176</v>
      </c>
      <c r="E179" s="31"/>
      <c r="H179" s="29"/>
    </row>
    <row r="180" spans="1:8" ht="29.1" customHeight="1" x14ac:dyDescent="0.25">
      <c r="A180" s="275"/>
      <c r="B180" s="293"/>
      <c r="C180" s="30">
        <v>2</v>
      </c>
      <c r="D180" s="65" t="s">
        <v>177</v>
      </c>
      <c r="E180" s="31"/>
      <c r="H180" s="29"/>
    </row>
    <row r="181" spans="1:8" ht="29.1" customHeight="1" x14ac:dyDescent="0.25">
      <c r="A181" s="275"/>
      <c r="B181" s="293"/>
      <c r="C181" s="30">
        <v>1</v>
      </c>
      <c r="D181" s="68" t="s">
        <v>178</v>
      </c>
      <c r="E181" s="31"/>
      <c r="H181" s="29"/>
    </row>
    <row r="182" spans="1:8" x14ac:dyDescent="0.25">
      <c r="A182" s="275"/>
      <c r="B182" s="293"/>
      <c r="C182" s="85">
        <v>0</v>
      </c>
      <c r="D182" s="86" t="s">
        <v>179</v>
      </c>
      <c r="E182" s="87"/>
      <c r="H182" s="29"/>
    </row>
    <row r="183" spans="1:8" ht="42" customHeight="1" x14ac:dyDescent="0.25">
      <c r="A183" s="275"/>
      <c r="B183" s="293"/>
      <c r="C183" s="299" t="s">
        <v>180</v>
      </c>
      <c r="D183" s="300"/>
      <c r="E183" s="88">
        <v>2</v>
      </c>
      <c r="F183" s="8" t="str">
        <f>IF(OR(ISBLANK(E183),E183&gt;4),"Salah isi","judge")</f>
        <v>judge</v>
      </c>
      <c r="H183" s="29"/>
    </row>
    <row r="184" spans="1:8" ht="43.7" customHeight="1" x14ac:dyDescent="0.25">
      <c r="A184" s="275"/>
      <c r="B184" s="293"/>
      <c r="C184" s="30">
        <v>4</v>
      </c>
      <c r="D184" s="65" t="s">
        <v>181</v>
      </c>
      <c r="E184" s="31"/>
      <c r="H184" s="29"/>
    </row>
    <row r="185" spans="1:8" ht="29.1" customHeight="1" x14ac:dyDescent="0.25">
      <c r="A185" s="275"/>
      <c r="B185" s="293"/>
      <c r="C185" s="30">
        <v>3</v>
      </c>
      <c r="D185" s="65" t="s">
        <v>182</v>
      </c>
      <c r="E185" s="31"/>
      <c r="H185" s="29"/>
    </row>
    <row r="186" spans="1:8" ht="29.1" customHeight="1" x14ac:dyDescent="0.25">
      <c r="A186" s="275"/>
      <c r="B186" s="293"/>
      <c r="C186" s="30">
        <v>2</v>
      </c>
      <c r="D186" s="65" t="s">
        <v>183</v>
      </c>
      <c r="E186" s="31"/>
      <c r="H186" s="29"/>
    </row>
    <row r="187" spans="1:8" ht="29.1" customHeight="1" x14ac:dyDescent="0.25">
      <c r="A187" s="275"/>
      <c r="B187" s="293"/>
      <c r="C187" s="30">
        <v>1</v>
      </c>
      <c r="D187" s="68" t="s">
        <v>184</v>
      </c>
      <c r="E187" s="31"/>
      <c r="H187" s="29"/>
    </row>
    <row r="188" spans="1:8" x14ac:dyDescent="0.25">
      <c r="A188" s="275"/>
      <c r="B188" s="293"/>
      <c r="C188" s="30">
        <v>0</v>
      </c>
      <c r="D188" s="65" t="s">
        <v>179</v>
      </c>
      <c r="E188" s="32"/>
      <c r="H188" s="29"/>
    </row>
    <row r="189" spans="1:8" ht="15" customHeight="1" x14ac:dyDescent="0.25">
      <c r="A189" s="276"/>
      <c r="B189" s="294"/>
      <c r="C189" s="289" t="s">
        <v>76</v>
      </c>
      <c r="D189" s="290"/>
      <c r="E189" s="25">
        <f>IF(OR(F177="Salah isi",F183="Salah isi"),0,(E177+2*E183)/3)</f>
        <v>2.1666666666666665</v>
      </c>
      <c r="H189" s="29"/>
    </row>
    <row r="190" spans="1:8" ht="15" customHeight="1" x14ac:dyDescent="0.25">
      <c r="A190" s="26"/>
      <c r="B190" s="26"/>
      <c r="C190" s="27"/>
      <c r="D190" s="62"/>
      <c r="E190" s="28"/>
      <c r="H190" s="29"/>
    </row>
    <row r="191" spans="1:8" ht="44.45" customHeight="1" x14ac:dyDescent="0.25">
      <c r="A191" s="274">
        <v>17</v>
      </c>
      <c r="B191" s="322" t="s">
        <v>185</v>
      </c>
      <c r="C191" s="323" t="s">
        <v>186</v>
      </c>
      <c r="D191" s="323"/>
      <c r="E191" s="36"/>
      <c r="H191" s="202" t="s">
        <v>704</v>
      </c>
    </row>
    <row r="192" spans="1:8" ht="50.1" customHeight="1" x14ac:dyDescent="0.25">
      <c r="A192" s="275"/>
      <c r="B192" s="293"/>
      <c r="C192" s="299" t="s">
        <v>99</v>
      </c>
      <c r="D192" s="300"/>
      <c r="E192" s="258">
        <v>12</v>
      </c>
      <c r="F192" s="8" t="s">
        <v>96</v>
      </c>
      <c r="G192" s="37"/>
      <c r="H192" s="29"/>
    </row>
    <row r="193" spans="1:8" ht="14.45" hidden="1" customHeight="1" x14ac:dyDescent="0.25">
      <c r="A193" s="275"/>
      <c r="B193" s="293"/>
      <c r="C193" s="119" t="s">
        <v>187</v>
      </c>
      <c r="D193" s="120">
        <v>3</v>
      </c>
      <c r="E193" s="147"/>
      <c r="G193" s="37"/>
      <c r="H193" s="29"/>
    </row>
    <row r="194" spans="1:8" ht="14.45" hidden="1" customHeight="1" x14ac:dyDescent="0.25">
      <c r="A194" s="275"/>
      <c r="B194" s="293"/>
      <c r="C194" s="119" t="s">
        <v>188</v>
      </c>
      <c r="D194" s="120">
        <v>12</v>
      </c>
      <c r="E194" s="147"/>
      <c r="G194" s="37"/>
      <c r="H194" s="29"/>
    </row>
    <row r="195" spans="1:8" ht="15" customHeight="1" x14ac:dyDescent="0.25">
      <c r="A195" s="276"/>
      <c r="B195" s="294"/>
      <c r="C195" s="283" t="s">
        <v>36</v>
      </c>
      <c r="D195" s="324"/>
      <c r="E195" s="25">
        <f>IF(E192&gt;=D194,4,IF(E192&gt;=D193,2/(D194-D193)*(E192-D193)+2,0))</f>
        <v>4</v>
      </c>
      <c r="H195" s="29"/>
    </row>
    <row r="196" spans="1:8" ht="15" customHeight="1" x14ac:dyDescent="0.25">
      <c r="C196" s="39"/>
      <c r="D196" s="67"/>
      <c r="H196" s="40"/>
    </row>
    <row r="197" spans="1:8" ht="41.45" customHeight="1" x14ac:dyDescent="0.25">
      <c r="A197" s="274">
        <v>18</v>
      </c>
      <c r="B197" s="322"/>
      <c r="C197" s="323" t="s">
        <v>189</v>
      </c>
      <c r="D197" s="323"/>
      <c r="E197" s="36"/>
      <c r="H197" s="202" t="s">
        <v>705</v>
      </c>
    </row>
    <row r="198" spans="1:8" ht="35.1" customHeight="1" x14ac:dyDescent="0.25">
      <c r="A198" s="275"/>
      <c r="B198" s="293"/>
      <c r="C198" s="299" t="s">
        <v>190</v>
      </c>
      <c r="D198" s="300"/>
      <c r="E198" s="258">
        <v>0</v>
      </c>
      <c r="F198" s="8" t="s">
        <v>96</v>
      </c>
      <c r="G198" s="37"/>
      <c r="H198" s="29"/>
    </row>
    <row r="199" spans="1:8" ht="53.1" customHeight="1" x14ac:dyDescent="0.25">
      <c r="A199" s="275"/>
      <c r="B199" s="293"/>
      <c r="C199" s="299" t="s">
        <v>99</v>
      </c>
      <c r="D199" s="300"/>
      <c r="E199" s="258">
        <v>12</v>
      </c>
      <c r="F199" s="8" t="s">
        <v>96</v>
      </c>
      <c r="G199" s="37"/>
      <c r="H199" s="29"/>
    </row>
    <row r="200" spans="1:8" ht="14.45" customHeight="1" x14ac:dyDescent="0.25">
      <c r="A200" s="275"/>
      <c r="B200" s="293"/>
      <c r="C200" s="299" t="s">
        <v>191</v>
      </c>
      <c r="D200" s="300"/>
      <c r="E200" s="55">
        <f>IF(E199&gt;0,E198/E199,0)</f>
        <v>0</v>
      </c>
      <c r="G200" s="42"/>
      <c r="H200" s="29"/>
    </row>
    <row r="201" spans="1:8" ht="14.45" hidden="1" customHeight="1" x14ac:dyDescent="0.25">
      <c r="A201" s="275"/>
      <c r="B201" s="293"/>
      <c r="C201" s="119" t="s">
        <v>154</v>
      </c>
      <c r="D201" s="149">
        <v>0.5</v>
      </c>
      <c r="E201" s="148"/>
      <c r="G201" s="42"/>
      <c r="H201" s="29"/>
    </row>
    <row r="202" spans="1:8" ht="15" customHeight="1" x14ac:dyDescent="0.25">
      <c r="A202" s="276"/>
      <c r="B202" s="294"/>
      <c r="C202" s="283" t="s">
        <v>36</v>
      </c>
      <c r="D202" s="324"/>
      <c r="E202" s="25">
        <f>IF(E200&gt;=D201,4,2+2/D201*E200)</f>
        <v>2</v>
      </c>
      <c r="H202" s="29"/>
    </row>
    <row r="203" spans="1:8" ht="15" customHeight="1" x14ac:dyDescent="0.25">
      <c r="C203" s="39"/>
      <c r="D203" s="67"/>
      <c r="H203" s="40"/>
    </row>
    <row r="204" spans="1:8" ht="43.35" hidden="1" customHeight="1" x14ac:dyDescent="0.25">
      <c r="A204" s="309"/>
      <c r="B204" s="301"/>
      <c r="C204" s="304"/>
      <c r="D204" s="304"/>
      <c r="E204" s="181"/>
      <c r="H204" s="202"/>
    </row>
    <row r="205" spans="1:8" ht="14.45" hidden="1" customHeight="1" x14ac:dyDescent="0.25">
      <c r="A205" s="310"/>
      <c r="B205" s="302"/>
      <c r="C205" s="305"/>
      <c r="D205" s="306"/>
      <c r="E205" s="112"/>
      <c r="G205" s="37"/>
      <c r="H205" s="29"/>
    </row>
    <row r="206" spans="1:8" ht="49.35" hidden="1" customHeight="1" x14ac:dyDescent="0.25">
      <c r="A206" s="310"/>
      <c r="B206" s="302"/>
      <c r="C206" s="305"/>
      <c r="D206" s="306"/>
      <c r="E206" s="112"/>
      <c r="G206" s="37"/>
      <c r="H206" s="29"/>
    </row>
    <row r="207" spans="1:8" ht="15.75" hidden="1" customHeight="1" x14ac:dyDescent="0.25">
      <c r="A207" s="310"/>
      <c r="B207" s="302"/>
      <c r="C207" s="305"/>
      <c r="D207" s="306"/>
      <c r="E207" s="182"/>
      <c r="G207" s="43"/>
      <c r="H207" s="29"/>
    </row>
    <row r="208" spans="1:8" ht="15.75" hidden="1" customHeight="1" x14ac:dyDescent="0.25">
      <c r="A208" s="310"/>
      <c r="B208" s="302"/>
      <c r="C208" s="119"/>
      <c r="D208" s="149"/>
      <c r="E208" s="148"/>
      <c r="G208" s="43"/>
      <c r="H208" s="29"/>
    </row>
    <row r="209" spans="1:8" ht="15" hidden="1" customHeight="1" x14ac:dyDescent="0.25">
      <c r="A209" s="311"/>
      <c r="B209" s="303"/>
      <c r="C209" s="307"/>
      <c r="D209" s="308"/>
      <c r="E209" s="113"/>
      <c r="H209" s="29"/>
    </row>
    <row r="210" spans="1:8" ht="15" hidden="1" customHeight="1" x14ac:dyDescent="0.25">
      <c r="C210" s="39"/>
      <c r="D210" s="67"/>
      <c r="H210" s="40"/>
    </row>
    <row r="211" spans="1:8" ht="33.75" customHeight="1" x14ac:dyDescent="0.25">
      <c r="A211" s="274">
        <v>19</v>
      </c>
      <c r="B211" s="322"/>
      <c r="C211" s="323" t="s">
        <v>192</v>
      </c>
      <c r="D211" s="323"/>
      <c r="E211" s="36"/>
      <c r="H211" s="202" t="s">
        <v>706</v>
      </c>
    </row>
    <row r="212" spans="1:8" x14ac:dyDescent="0.25">
      <c r="A212" s="275"/>
      <c r="B212" s="293"/>
      <c r="C212" s="299" t="s">
        <v>193</v>
      </c>
      <c r="D212" s="300"/>
      <c r="E212" s="258">
        <v>0</v>
      </c>
      <c r="F212" s="8" t="s">
        <v>96</v>
      </c>
      <c r="G212" s="37"/>
      <c r="H212" s="29"/>
    </row>
    <row r="213" spans="1:8" x14ac:dyDescent="0.25">
      <c r="A213" s="275"/>
      <c r="B213" s="293"/>
      <c r="C213" s="299" t="s">
        <v>194</v>
      </c>
      <c r="D213" s="300"/>
      <c r="E213" s="258">
        <v>0</v>
      </c>
      <c r="F213" s="8" t="s">
        <v>96</v>
      </c>
      <c r="G213" s="37"/>
      <c r="H213" s="29"/>
    </row>
    <row r="214" spans="1:8" x14ac:dyDescent="0.25">
      <c r="A214" s="275"/>
      <c r="B214" s="293"/>
      <c r="C214" s="299" t="s">
        <v>195</v>
      </c>
      <c r="D214" s="300"/>
      <c r="E214" s="258">
        <v>5</v>
      </c>
      <c r="F214" s="8" t="s">
        <v>96</v>
      </c>
      <c r="G214" s="37"/>
      <c r="H214" s="29"/>
    </row>
    <row r="215" spans="1:8" ht="50.45" customHeight="1" x14ac:dyDescent="0.25">
      <c r="A215" s="275"/>
      <c r="B215" s="293"/>
      <c r="C215" s="299" t="s">
        <v>99</v>
      </c>
      <c r="D215" s="300"/>
      <c r="E215" s="258">
        <v>12</v>
      </c>
      <c r="F215" s="8" t="s">
        <v>96</v>
      </c>
      <c r="G215" s="37"/>
      <c r="H215" s="29"/>
    </row>
    <row r="216" spans="1:8" ht="14.45" customHeight="1" x14ac:dyDescent="0.25">
      <c r="A216" s="275"/>
      <c r="B216" s="293"/>
      <c r="C216" s="299" t="s">
        <v>196</v>
      </c>
      <c r="D216" s="300"/>
      <c r="E216" s="55">
        <f>IF(E215&gt;0,(E212+E213+E214)/E215,0)</f>
        <v>0.41666666666666669</v>
      </c>
      <c r="G216" s="42"/>
      <c r="H216" s="29"/>
    </row>
    <row r="217" spans="1:8" ht="14.45" hidden="1" customHeight="1" x14ac:dyDescent="0.25">
      <c r="A217" s="275"/>
      <c r="B217" s="293"/>
      <c r="C217" s="119" t="s">
        <v>154</v>
      </c>
      <c r="D217" s="149">
        <v>0.7</v>
      </c>
      <c r="E217" s="148"/>
      <c r="G217" s="42"/>
      <c r="H217" s="29"/>
    </row>
    <row r="218" spans="1:8" ht="15" customHeight="1" x14ac:dyDescent="0.25">
      <c r="A218" s="276"/>
      <c r="B218" s="294"/>
      <c r="C218" s="283" t="s">
        <v>36</v>
      </c>
      <c r="D218" s="324"/>
      <c r="E218" s="25">
        <f>IF(E216&gt;=D217,4,2+2/D217*E216)</f>
        <v>3.1904761904761907</v>
      </c>
      <c r="H218" s="29"/>
    </row>
    <row r="219" spans="1:8" ht="15" customHeight="1" x14ac:dyDescent="0.25">
      <c r="C219" s="39"/>
      <c r="D219" s="67"/>
      <c r="H219" s="40"/>
    </row>
    <row r="220" spans="1:8" ht="43.35" customHeight="1" x14ac:dyDescent="0.25">
      <c r="A220" s="274">
        <v>20</v>
      </c>
      <c r="B220" s="322"/>
      <c r="C220" s="323" t="s">
        <v>197</v>
      </c>
      <c r="D220" s="323"/>
      <c r="E220" s="36"/>
      <c r="H220" s="202" t="s">
        <v>744</v>
      </c>
    </row>
    <row r="221" spans="1:8" ht="29.1" customHeight="1" x14ac:dyDescent="0.25">
      <c r="A221" s="275"/>
      <c r="B221" s="293"/>
      <c r="C221" s="136"/>
      <c r="D221" s="83" t="s">
        <v>198</v>
      </c>
      <c r="E221" s="93" t="s">
        <v>202</v>
      </c>
      <c r="H221" s="29"/>
    </row>
    <row r="222" spans="1:8" ht="14.45" hidden="1" customHeight="1" x14ac:dyDescent="0.25">
      <c r="A222" s="275"/>
      <c r="B222" s="293"/>
      <c r="C222" s="123"/>
      <c r="D222" s="124" t="s">
        <v>200</v>
      </c>
      <c r="E222" s="89" t="s">
        <v>199</v>
      </c>
      <c r="H222" s="29"/>
    </row>
    <row r="223" spans="1:8" ht="14.45" hidden="1" customHeight="1" x14ac:dyDescent="0.25">
      <c r="A223" s="275"/>
      <c r="B223" s="293"/>
      <c r="C223" s="123"/>
      <c r="D223" s="124" t="s">
        <v>201</v>
      </c>
      <c r="E223" s="89" t="s">
        <v>202</v>
      </c>
      <c r="H223" s="29"/>
    </row>
    <row r="224" spans="1:8" ht="14.45" hidden="1" customHeight="1" x14ac:dyDescent="0.25">
      <c r="A224" s="275"/>
      <c r="B224" s="293"/>
      <c r="C224" s="123"/>
      <c r="D224" s="124"/>
      <c r="E224" s="89"/>
      <c r="H224" s="29"/>
    </row>
    <row r="225" spans="1:8" ht="14.45" hidden="1" customHeight="1" x14ac:dyDescent="0.25">
      <c r="A225" s="275"/>
      <c r="B225" s="293"/>
      <c r="C225" s="123"/>
      <c r="D225" s="124"/>
      <c r="E225" s="89"/>
      <c r="H225" s="29"/>
    </row>
    <row r="226" spans="1:8" ht="14.45" customHeight="1" x14ac:dyDescent="0.25">
      <c r="A226" s="275"/>
      <c r="B226" s="293"/>
      <c r="C226" s="299" t="s">
        <v>203</v>
      </c>
      <c r="D226" s="300"/>
      <c r="E226" s="258">
        <v>11</v>
      </c>
      <c r="F226" s="8" t="s">
        <v>96</v>
      </c>
      <c r="G226" s="37"/>
      <c r="H226" s="29"/>
    </row>
    <row r="227" spans="1:8" ht="50.1" customHeight="1" x14ac:dyDescent="0.25">
      <c r="A227" s="275"/>
      <c r="B227" s="293"/>
      <c r="C227" s="299" t="s">
        <v>99</v>
      </c>
      <c r="D227" s="300"/>
      <c r="E227" s="258">
        <v>12</v>
      </c>
      <c r="F227" s="8" t="s">
        <v>96</v>
      </c>
      <c r="G227" s="44"/>
      <c r="H227" s="29"/>
    </row>
    <row r="228" spans="1:8" ht="15.75" customHeight="1" x14ac:dyDescent="0.25">
      <c r="A228" s="275"/>
      <c r="B228" s="293"/>
      <c r="C228" s="299" t="s">
        <v>204</v>
      </c>
      <c r="D228" s="300"/>
      <c r="E228" s="54">
        <f>IF(E227&gt;0,E226/E227,0)</f>
        <v>0.91666666666666663</v>
      </c>
      <c r="G228" s="45"/>
      <c r="H228" s="29"/>
    </row>
    <row r="229" spans="1:8" ht="15.75" hidden="1" customHeight="1" x14ac:dyDescent="0.25">
      <c r="A229" s="275"/>
      <c r="B229" s="293"/>
      <c r="C229" s="333" t="s">
        <v>205</v>
      </c>
      <c r="D229" s="333"/>
      <c r="E229" s="117">
        <f>IF(E228&gt;D232,0,IF(E228&gt;D231,-4/(D232-D231)*(E228-D231)+4,IF(E228&gt;=D230,4,4/D230*E228)))</f>
        <v>0.24444444444444444</v>
      </c>
      <c r="G229" s="45"/>
      <c r="H229" s="29"/>
    </row>
    <row r="230" spans="1:8" ht="15.75" hidden="1" customHeight="1" x14ac:dyDescent="0.25">
      <c r="A230" s="275"/>
      <c r="B230" s="293"/>
      <c r="C230" s="139" t="s">
        <v>187</v>
      </c>
      <c r="D230" s="139">
        <v>15</v>
      </c>
      <c r="E230" s="117"/>
      <c r="G230" s="45"/>
      <c r="H230" s="29"/>
    </row>
    <row r="231" spans="1:8" ht="15.75" hidden="1" customHeight="1" x14ac:dyDescent="0.25">
      <c r="A231" s="275"/>
      <c r="B231" s="293"/>
      <c r="C231" s="139" t="s">
        <v>188</v>
      </c>
      <c r="D231" s="139">
        <v>25</v>
      </c>
      <c r="E231" s="117"/>
      <c r="G231" s="45"/>
      <c r="H231" s="29"/>
    </row>
    <row r="232" spans="1:8" ht="15.75" hidden="1" customHeight="1" x14ac:dyDescent="0.25">
      <c r="A232" s="275"/>
      <c r="B232" s="293"/>
      <c r="C232" s="139" t="s">
        <v>206</v>
      </c>
      <c r="D232" s="139">
        <v>35</v>
      </c>
      <c r="E232" s="117"/>
      <c r="G232" s="45"/>
      <c r="H232" s="29"/>
    </row>
    <row r="233" spans="1:8" ht="15.75" hidden="1" customHeight="1" x14ac:dyDescent="0.25">
      <c r="A233" s="275"/>
      <c r="B233" s="293"/>
      <c r="C233" s="333" t="s">
        <v>207</v>
      </c>
      <c r="D233" s="333"/>
      <c r="E233" s="117">
        <f>IF(E228&gt;D236,0,IF(E228&gt;D235,-4/(D236-D235)*(E228-D235)+4,IF(E228&gt;=D234,4,4/D234*E228)))</f>
        <v>0.14666666666666667</v>
      </c>
      <c r="G233" s="45"/>
      <c r="H233" s="29"/>
    </row>
    <row r="234" spans="1:8" ht="15.75" hidden="1" customHeight="1" x14ac:dyDescent="0.25">
      <c r="A234" s="275"/>
      <c r="B234" s="293"/>
      <c r="C234" s="119" t="s">
        <v>187</v>
      </c>
      <c r="D234" s="120">
        <v>25</v>
      </c>
      <c r="E234" s="125"/>
      <c r="G234" s="45"/>
      <c r="H234" s="29"/>
    </row>
    <row r="235" spans="1:8" ht="15.75" hidden="1" customHeight="1" x14ac:dyDescent="0.25">
      <c r="A235" s="275"/>
      <c r="B235" s="293"/>
      <c r="C235" s="119" t="s">
        <v>188</v>
      </c>
      <c r="D235" s="120">
        <v>35</v>
      </c>
      <c r="E235" s="125"/>
      <c r="G235" s="45"/>
      <c r="H235" s="29"/>
    </row>
    <row r="236" spans="1:8" ht="15.75" hidden="1" customHeight="1" x14ac:dyDescent="0.25">
      <c r="A236" s="275"/>
      <c r="B236" s="293"/>
      <c r="C236" s="119" t="s">
        <v>206</v>
      </c>
      <c r="D236" s="120">
        <v>50</v>
      </c>
      <c r="E236" s="125"/>
      <c r="G236" s="45"/>
      <c r="H236" s="29"/>
    </row>
    <row r="237" spans="1:8" ht="35.450000000000003" customHeight="1" x14ac:dyDescent="0.25">
      <c r="A237" s="275"/>
      <c r="B237" s="293"/>
      <c r="C237" s="281" t="s">
        <v>208</v>
      </c>
      <c r="D237" s="282"/>
      <c r="E237" s="183" t="str">
        <f>E143</f>
        <v>Tinggi</v>
      </c>
      <c r="G237" s="45"/>
      <c r="H237" s="29"/>
    </row>
    <row r="238" spans="1:8" ht="33.6" customHeight="1" x14ac:dyDescent="0.25">
      <c r="A238" s="275"/>
      <c r="B238" s="293"/>
      <c r="C238" s="283" t="s">
        <v>209</v>
      </c>
      <c r="D238" s="284"/>
      <c r="E238" s="285"/>
      <c r="G238" s="45"/>
      <c r="H238" s="29"/>
    </row>
    <row r="239" spans="1:8" ht="15" customHeight="1" x14ac:dyDescent="0.25">
      <c r="A239" s="276"/>
      <c r="B239" s="294"/>
      <c r="C239" s="279" t="s">
        <v>36</v>
      </c>
      <c r="D239" s="280"/>
      <c r="E239" s="176">
        <f>IF(E237="Tinggi",IF(E221="Saintek",E229,E233),E160)</f>
        <v>0.14666666666666667</v>
      </c>
      <c r="G239" s="41"/>
      <c r="H239" s="29"/>
    </row>
    <row r="240" spans="1:8" ht="15" customHeight="1" x14ac:dyDescent="0.25">
      <c r="C240" s="39"/>
      <c r="D240" s="67"/>
      <c r="H240" s="40"/>
    </row>
    <row r="241" spans="1:8" ht="43.35" customHeight="1" x14ac:dyDescent="0.25">
      <c r="A241" s="274">
        <v>21</v>
      </c>
      <c r="B241" s="322"/>
      <c r="C241" s="323" t="s">
        <v>210</v>
      </c>
      <c r="D241" s="323"/>
      <c r="E241" s="36"/>
      <c r="H241" s="202" t="s">
        <v>707</v>
      </c>
    </row>
    <row r="242" spans="1:8" ht="33" customHeight="1" x14ac:dyDescent="0.25">
      <c r="A242" s="275"/>
      <c r="B242" s="293"/>
      <c r="C242" s="299" t="s">
        <v>211</v>
      </c>
      <c r="D242" s="300"/>
      <c r="E242" s="258">
        <v>3.3333333333333002</v>
      </c>
      <c r="F242" s="8" t="s">
        <v>96</v>
      </c>
      <c r="G242" s="37"/>
      <c r="H242" s="29"/>
    </row>
    <row r="243" spans="1:8" x14ac:dyDescent="0.25">
      <c r="A243" s="275"/>
      <c r="B243" s="293"/>
      <c r="C243" s="299" t="s">
        <v>212</v>
      </c>
      <c r="D243" s="300"/>
      <c r="E243" s="258">
        <v>1</v>
      </c>
      <c r="F243" s="8" t="s">
        <v>96</v>
      </c>
      <c r="G243" s="37"/>
      <c r="H243" s="29"/>
    </row>
    <row r="244" spans="1:8" ht="15.75" customHeight="1" x14ac:dyDescent="0.25">
      <c r="A244" s="275"/>
      <c r="B244" s="293"/>
      <c r="C244" s="299" t="s">
        <v>213</v>
      </c>
      <c r="D244" s="300"/>
      <c r="E244" s="54">
        <f>(E242+E243)/2</f>
        <v>2.1666666666666501</v>
      </c>
      <c r="G244" s="43"/>
      <c r="H244" s="29"/>
    </row>
    <row r="245" spans="1:8" ht="15.75" hidden="1" customHeight="1" x14ac:dyDescent="0.25">
      <c r="A245" s="275"/>
      <c r="B245" s="293"/>
      <c r="C245" s="139" t="s">
        <v>187</v>
      </c>
      <c r="D245" s="139">
        <v>6</v>
      </c>
      <c r="E245" s="117"/>
      <c r="G245" s="45"/>
      <c r="H245" s="29"/>
    </row>
    <row r="246" spans="1:8" ht="15.75" hidden="1" customHeight="1" x14ac:dyDescent="0.25">
      <c r="A246" s="275"/>
      <c r="B246" s="293"/>
      <c r="C246" s="139" t="s">
        <v>188</v>
      </c>
      <c r="D246" s="139">
        <v>10</v>
      </c>
      <c r="E246" s="117"/>
      <c r="G246" s="45"/>
      <c r="H246" s="29"/>
    </row>
    <row r="247" spans="1:8" ht="15" customHeight="1" x14ac:dyDescent="0.25">
      <c r="A247" s="276"/>
      <c r="B247" s="294"/>
      <c r="C247" s="283" t="s">
        <v>36</v>
      </c>
      <c r="D247" s="324"/>
      <c r="E247" s="25">
        <f>IF(OR(E244=0,E244&gt;D246),0,IF(E244&gt;D245,-2/(D246-D245)*(E244-D245)+4,4))</f>
        <v>4</v>
      </c>
      <c r="H247" s="29"/>
    </row>
    <row r="248" spans="1:8" ht="15" customHeight="1" x14ac:dyDescent="0.25">
      <c r="C248" s="39"/>
      <c r="D248" s="67"/>
      <c r="H248" s="40"/>
    </row>
    <row r="249" spans="1:8" ht="43.35" customHeight="1" x14ac:dyDescent="0.25">
      <c r="A249" s="274">
        <v>22</v>
      </c>
      <c r="B249" s="322"/>
      <c r="C249" s="323" t="s">
        <v>214</v>
      </c>
      <c r="D249" s="323"/>
      <c r="E249" s="36"/>
      <c r="H249" s="202" t="s">
        <v>708</v>
      </c>
    </row>
    <row r="250" spans="1:8" x14ac:dyDescent="0.25">
      <c r="A250" s="275"/>
      <c r="B250" s="293"/>
      <c r="C250" s="299" t="s">
        <v>215</v>
      </c>
      <c r="D250" s="300"/>
      <c r="E250" s="258">
        <v>12</v>
      </c>
      <c r="F250" s="8" t="s">
        <v>96</v>
      </c>
      <c r="G250" s="37"/>
      <c r="H250" s="29"/>
    </row>
    <row r="251" spans="1:8" x14ac:dyDescent="0.25">
      <c r="A251" s="275"/>
      <c r="B251" s="293"/>
      <c r="C251" s="299" t="s">
        <v>216</v>
      </c>
      <c r="D251" s="300"/>
      <c r="E251" s="258">
        <v>12</v>
      </c>
      <c r="F251" s="8" t="s">
        <v>96</v>
      </c>
      <c r="G251" s="37"/>
      <c r="H251" s="29"/>
    </row>
    <row r="252" spans="1:8" ht="15.75" customHeight="1" x14ac:dyDescent="0.25">
      <c r="A252" s="275"/>
      <c r="B252" s="293"/>
      <c r="C252" s="299" t="s">
        <v>217</v>
      </c>
      <c r="D252" s="300"/>
      <c r="E252" s="54">
        <f>E251</f>
        <v>12</v>
      </c>
      <c r="G252" s="43"/>
      <c r="H252" s="29"/>
    </row>
    <row r="253" spans="1:8" ht="15.75" hidden="1" customHeight="1" x14ac:dyDescent="0.25">
      <c r="A253" s="275"/>
      <c r="B253" s="293"/>
      <c r="C253" s="139" t="s">
        <v>187</v>
      </c>
      <c r="D253" s="139">
        <v>6</v>
      </c>
      <c r="E253" s="117"/>
      <c r="G253" s="45"/>
      <c r="H253" s="29"/>
    </row>
    <row r="254" spans="1:8" ht="15.75" hidden="1" customHeight="1" x14ac:dyDescent="0.25">
      <c r="A254" s="275"/>
      <c r="B254" s="293"/>
      <c r="C254" s="139" t="s">
        <v>188</v>
      </c>
      <c r="D254" s="139">
        <v>12</v>
      </c>
      <c r="E254" s="117"/>
      <c r="G254" s="45"/>
      <c r="H254" s="29"/>
    </row>
    <row r="255" spans="1:8" ht="15.75" hidden="1" customHeight="1" x14ac:dyDescent="0.25">
      <c r="A255" s="275"/>
      <c r="B255" s="293"/>
      <c r="C255" s="139" t="s">
        <v>206</v>
      </c>
      <c r="D255" s="139">
        <v>16</v>
      </c>
      <c r="E255" s="117"/>
      <c r="G255" s="45"/>
      <c r="H255" s="29"/>
    </row>
    <row r="256" spans="1:8" ht="15.75" hidden="1" customHeight="1" x14ac:dyDescent="0.25">
      <c r="A256" s="275"/>
      <c r="B256" s="293"/>
      <c r="C256" s="150" t="s">
        <v>218</v>
      </c>
      <c r="D256" s="139">
        <v>18</v>
      </c>
      <c r="E256" s="117"/>
      <c r="G256" s="45"/>
      <c r="H256" s="29"/>
    </row>
    <row r="257" spans="1:8" ht="15" customHeight="1" x14ac:dyDescent="0.25">
      <c r="A257" s="276"/>
      <c r="B257" s="294"/>
      <c r="C257" s="283" t="s">
        <v>36</v>
      </c>
      <c r="D257" s="324"/>
      <c r="E257" s="25">
        <f>IF(E252&gt;D256,0,IF(E252&gt;=D255,-4/(D256-D255)*(E252-D255)+4,IF(E252&gt;=D254,4,IF(E252&gt;=D253,4/(D254-D253)*(E252-D253),0))))</f>
        <v>4</v>
      </c>
      <c r="H257" s="29"/>
    </row>
    <row r="258" spans="1:8" ht="15" customHeight="1" x14ac:dyDescent="0.25">
      <c r="C258" s="39"/>
      <c r="D258" s="67"/>
      <c r="H258" s="40"/>
    </row>
    <row r="259" spans="1:8" ht="43.35" customHeight="1" x14ac:dyDescent="0.25">
      <c r="A259" s="274">
        <v>23</v>
      </c>
      <c r="B259" s="322"/>
      <c r="C259" s="323" t="s">
        <v>219</v>
      </c>
      <c r="D259" s="323"/>
      <c r="E259" s="36"/>
      <c r="H259" s="202" t="s">
        <v>709</v>
      </c>
    </row>
    <row r="260" spans="1:8" ht="32.450000000000003" customHeight="1" x14ac:dyDescent="0.25">
      <c r="A260" s="275"/>
      <c r="B260" s="293"/>
      <c r="C260" s="299" t="s">
        <v>220</v>
      </c>
      <c r="D260" s="300"/>
      <c r="E260" s="258">
        <v>0</v>
      </c>
      <c r="F260" s="8" t="s">
        <v>96</v>
      </c>
      <c r="G260" s="37"/>
      <c r="H260" s="29"/>
    </row>
    <row r="261" spans="1:8" ht="32.1" customHeight="1" x14ac:dyDescent="0.25">
      <c r="A261" s="275"/>
      <c r="B261" s="293"/>
      <c r="C261" s="299" t="s">
        <v>221</v>
      </c>
      <c r="D261" s="300"/>
      <c r="E261" s="258">
        <v>14</v>
      </c>
      <c r="F261" s="8" t="s">
        <v>96</v>
      </c>
      <c r="G261" s="37"/>
      <c r="H261" s="29"/>
    </row>
    <row r="262" spans="1:8" ht="15.75" customHeight="1" x14ac:dyDescent="0.25">
      <c r="A262" s="275"/>
      <c r="B262" s="293"/>
      <c r="C262" s="299" t="s">
        <v>222</v>
      </c>
      <c r="D262" s="300"/>
      <c r="E262" s="55">
        <f>IF((E260+E261)&gt;0,E260/(E260+E261),0)</f>
        <v>0</v>
      </c>
      <c r="G262" s="43"/>
      <c r="H262" s="29"/>
    </row>
    <row r="263" spans="1:8" ht="15.75" hidden="1" customHeight="1" x14ac:dyDescent="0.25">
      <c r="A263" s="275"/>
      <c r="B263" s="293"/>
      <c r="C263" s="139" t="s">
        <v>187</v>
      </c>
      <c r="D263" s="151">
        <v>0.1</v>
      </c>
      <c r="E263" s="117"/>
      <c r="G263" s="45"/>
      <c r="H263" s="29"/>
    </row>
    <row r="264" spans="1:8" ht="15.75" hidden="1" customHeight="1" x14ac:dyDescent="0.25">
      <c r="A264" s="275"/>
      <c r="B264" s="293"/>
      <c r="C264" s="139" t="s">
        <v>188</v>
      </c>
      <c r="D264" s="151">
        <v>0.4</v>
      </c>
      <c r="E264" s="117"/>
      <c r="G264" s="45"/>
      <c r="H264" s="29"/>
    </row>
    <row r="265" spans="1:8" ht="15" customHeight="1" x14ac:dyDescent="0.25">
      <c r="A265" s="276"/>
      <c r="B265" s="294"/>
      <c r="C265" s="283" t="s">
        <v>36</v>
      </c>
      <c r="D265" s="324"/>
      <c r="E265" s="25">
        <f>IF(E262&gt;D264,0,IF(E262&gt;D263,-2/(D264-D263)*(E262-D263)+4,4))</f>
        <v>4</v>
      </c>
      <c r="H265" s="29"/>
    </row>
    <row r="266" spans="1:8" ht="15" customHeight="1" x14ac:dyDescent="0.25">
      <c r="C266" s="39"/>
      <c r="D266" s="67"/>
      <c r="H266" s="40"/>
    </row>
    <row r="267" spans="1:8" ht="43.35" hidden="1" customHeight="1" x14ac:dyDescent="0.25">
      <c r="A267" s="309"/>
      <c r="B267" s="301"/>
      <c r="C267" s="304"/>
      <c r="D267" s="304"/>
      <c r="E267" s="181"/>
      <c r="H267" s="202"/>
    </row>
    <row r="268" spans="1:8" ht="32.450000000000003" hidden="1" customHeight="1" x14ac:dyDescent="0.25">
      <c r="A268" s="310"/>
      <c r="B268" s="302"/>
      <c r="C268" s="305"/>
      <c r="D268" s="306"/>
      <c r="E268" s="112"/>
      <c r="G268" s="37"/>
      <c r="H268" s="29"/>
    </row>
    <row r="269" spans="1:8" ht="14.45" hidden="1" customHeight="1" x14ac:dyDescent="0.25">
      <c r="A269" s="310"/>
      <c r="B269" s="302"/>
      <c r="C269" s="305"/>
      <c r="D269" s="306"/>
      <c r="E269" s="112"/>
      <c r="G269" s="37"/>
      <c r="H269" s="29"/>
    </row>
    <row r="270" spans="1:8" ht="15.75" hidden="1" customHeight="1" x14ac:dyDescent="0.25">
      <c r="A270" s="310"/>
      <c r="B270" s="302"/>
      <c r="C270" s="305"/>
      <c r="D270" s="306"/>
      <c r="E270" s="182"/>
      <c r="G270" s="43"/>
      <c r="H270" s="29"/>
    </row>
    <row r="271" spans="1:8" ht="15.75" hidden="1" customHeight="1" x14ac:dyDescent="0.25">
      <c r="A271" s="310"/>
      <c r="B271" s="302"/>
      <c r="C271" s="139"/>
      <c r="D271" s="151"/>
      <c r="E271" s="117"/>
      <c r="G271" s="45"/>
      <c r="H271" s="29"/>
    </row>
    <row r="272" spans="1:8" ht="15" hidden="1" customHeight="1" x14ac:dyDescent="0.25">
      <c r="A272" s="311"/>
      <c r="B272" s="303"/>
      <c r="C272" s="307"/>
      <c r="D272" s="308"/>
      <c r="E272" s="113"/>
      <c r="H272" s="29"/>
    </row>
    <row r="273" spans="1:8" ht="15" hidden="1" customHeight="1" x14ac:dyDescent="0.25">
      <c r="C273" s="39"/>
      <c r="D273" s="67"/>
      <c r="H273" s="40"/>
    </row>
    <row r="274" spans="1:8" ht="339" customHeight="1" x14ac:dyDescent="0.25">
      <c r="A274" s="274">
        <v>24</v>
      </c>
      <c r="B274" s="322" t="s">
        <v>223</v>
      </c>
      <c r="C274" s="323" t="s">
        <v>224</v>
      </c>
      <c r="D274" s="323"/>
      <c r="E274" s="36"/>
      <c r="H274" s="202" t="s">
        <v>710</v>
      </c>
    </row>
    <row r="275" spans="1:8" ht="32.450000000000003" customHeight="1" x14ac:dyDescent="0.25">
      <c r="A275" s="275"/>
      <c r="B275" s="293"/>
      <c r="C275" s="299" t="s">
        <v>225</v>
      </c>
      <c r="D275" s="300"/>
      <c r="E275" s="57">
        <v>5</v>
      </c>
      <c r="F275" s="8" t="s">
        <v>96</v>
      </c>
      <c r="G275" s="37"/>
      <c r="H275" s="29"/>
    </row>
    <row r="276" spans="1:8" ht="47.1" customHeight="1" x14ac:dyDescent="0.25">
      <c r="A276" s="275"/>
      <c r="B276" s="293"/>
      <c r="C276" s="299" t="s">
        <v>99</v>
      </c>
      <c r="D276" s="300"/>
      <c r="E276" s="57">
        <v>12</v>
      </c>
      <c r="F276" s="8" t="s">
        <v>96</v>
      </c>
      <c r="G276" s="37"/>
      <c r="H276" s="29"/>
    </row>
    <row r="277" spans="1:8" ht="15.75" customHeight="1" x14ac:dyDescent="0.25">
      <c r="A277" s="275"/>
      <c r="B277" s="293"/>
      <c r="C277" s="299" t="s">
        <v>226</v>
      </c>
      <c r="D277" s="300"/>
      <c r="E277" s="54">
        <f>IF(E276&gt;0,E275/E276,0)</f>
        <v>0.41666666666666669</v>
      </c>
      <c r="G277" s="43"/>
      <c r="H277" s="29"/>
    </row>
    <row r="278" spans="1:8" ht="15.75" hidden="1" customHeight="1" x14ac:dyDescent="0.25">
      <c r="A278" s="275"/>
      <c r="B278" s="293"/>
      <c r="C278" s="139" t="s">
        <v>154</v>
      </c>
      <c r="D278" s="152">
        <v>0.5</v>
      </c>
      <c r="E278" s="117"/>
      <c r="G278" s="45"/>
      <c r="H278" s="29"/>
    </row>
    <row r="279" spans="1:8" ht="15" customHeight="1" x14ac:dyDescent="0.25">
      <c r="A279" s="276"/>
      <c r="B279" s="294"/>
      <c r="C279" s="283" t="s">
        <v>36</v>
      </c>
      <c r="D279" s="324"/>
      <c r="E279" s="25">
        <f>IF(E277&gt;=D278,4,2+2/D278*E277)</f>
        <v>3.666666666666667</v>
      </c>
      <c r="H279" s="29"/>
    </row>
    <row r="280" spans="1:8" ht="15" customHeight="1" x14ac:dyDescent="0.25">
      <c r="C280" s="39"/>
      <c r="D280" s="67"/>
      <c r="H280" s="40"/>
    </row>
    <row r="281" spans="1:8" ht="48" customHeight="1" x14ac:dyDescent="0.25">
      <c r="A281" s="274">
        <v>25</v>
      </c>
      <c r="B281" s="322"/>
      <c r="C281" s="323" t="s">
        <v>227</v>
      </c>
      <c r="D281" s="323"/>
      <c r="E281" s="46"/>
      <c r="H281" s="202" t="s">
        <v>745</v>
      </c>
    </row>
    <row r="282" spans="1:8" ht="31.35" customHeight="1" x14ac:dyDescent="0.25">
      <c r="A282" s="275"/>
      <c r="B282" s="293"/>
      <c r="C282" s="299" t="s">
        <v>228</v>
      </c>
      <c r="D282" s="300"/>
      <c r="E282" s="258">
        <v>0</v>
      </c>
      <c r="F282" s="8" t="s">
        <v>96</v>
      </c>
      <c r="G282" s="37"/>
      <c r="H282" s="29"/>
    </row>
    <row r="283" spans="1:8" ht="32.1" customHeight="1" x14ac:dyDescent="0.25">
      <c r="A283" s="275"/>
      <c r="B283" s="293"/>
      <c r="C283" s="299" t="s">
        <v>229</v>
      </c>
      <c r="D283" s="300"/>
      <c r="E283" s="258">
        <v>0</v>
      </c>
      <c r="F283" s="8" t="s">
        <v>96</v>
      </c>
      <c r="G283" s="37"/>
      <c r="H283" s="29"/>
    </row>
    <row r="284" spans="1:8" x14ac:dyDescent="0.25">
      <c r="A284" s="275"/>
      <c r="B284" s="293"/>
      <c r="C284" s="299" t="s">
        <v>230</v>
      </c>
      <c r="D284" s="300"/>
      <c r="E284" s="258">
        <v>18</v>
      </c>
      <c r="F284" s="8" t="s">
        <v>96</v>
      </c>
      <c r="G284" s="37"/>
      <c r="H284" s="29"/>
    </row>
    <row r="285" spans="1:8" ht="47.45" customHeight="1" x14ac:dyDescent="0.25">
      <c r="A285" s="275"/>
      <c r="B285" s="293"/>
      <c r="C285" s="299" t="s">
        <v>99</v>
      </c>
      <c r="D285" s="300"/>
      <c r="E285" s="258">
        <v>12</v>
      </c>
      <c r="F285" s="8" t="s">
        <v>96</v>
      </c>
      <c r="G285" s="37"/>
      <c r="H285" s="29"/>
    </row>
    <row r="286" spans="1:8" x14ac:dyDescent="0.25">
      <c r="A286" s="275"/>
      <c r="B286" s="293"/>
      <c r="C286" s="299" t="s">
        <v>231</v>
      </c>
      <c r="D286" s="300"/>
      <c r="E286" s="54">
        <f>IF(E285&gt;0,E282/3/E285,0)</f>
        <v>0</v>
      </c>
      <c r="G286" s="41"/>
      <c r="H286" s="29"/>
    </row>
    <row r="287" spans="1:8" ht="15.75" customHeight="1" x14ac:dyDescent="0.25">
      <c r="A287" s="275"/>
      <c r="B287" s="293"/>
      <c r="C287" s="299" t="s">
        <v>232</v>
      </c>
      <c r="D287" s="300"/>
      <c r="E287" s="54">
        <f>IF(E285&gt;0,E283/3/E285,0)</f>
        <v>0</v>
      </c>
      <c r="G287" s="41"/>
      <c r="H287" s="29"/>
    </row>
    <row r="288" spans="1:8" ht="15.75" customHeight="1" x14ac:dyDescent="0.25">
      <c r="A288" s="275"/>
      <c r="B288" s="293"/>
      <c r="C288" s="299" t="s">
        <v>233</v>
      </c>
      <c r="D288" s="300"/>
      <c r="E288" s="54">
        <f>IF(E285&gt;0,E284/3/E285,0)</f>
        <v>0.5</v>
      </c>
      <c r="G288" s="41"/>
      <c r="H288" s="29"/>
    </row>
    <row r="289" spans="1:8" ht="15.75" hidden="1" customHeight="1" x14ac:dyDescent="0.25">
      <c r="A289" s="275"/>
      <c r="B289" s="293"/>
      <c r="C289" s="139" t="s">
        <v>101</v>
      </c>
      <c r="D289" s="122">
        <v>0.05</v>
      </c>
      <c r="E289" s="117"/>
      <c r="G289" s="41"/>
      <c r="H289" s="29"/>
    </row>
    <row r="290" spans="1:8" ht="15.75" hidden="1" customHeight="1" x14ac:dyDescent="0.25">
      <c r="A290" s="275"/>
      <c r="B290" s="293"/>
      <c r="C290" s="139" t="s">
        <v>102</v>
      </c>
      <c r="D290" s="122">
        <v>0.3</v>
      </c>
      <c r="E290" s="117"/>
      <c r="G290" s="41"/>
      <c r="H290" s="29"/>
    </row>
    <row r="291" spans="1:8" ht="15.75" hidden="1" customHeight="1" x14ac:dyDescent="0.25">
      <c r="A291" s="275"/>
      <c r="B291" s="293"/>
      <c r="C291" s="139" t="s">
        <v>103</v>
      </c>
      <c r="D291" s="122">
        <v>1</v>
      </c>
      <c r="E291" s="117"/>
      <c r="G291" s="41"/>
      <c r="H291" s="29"/>
    </row>
    <row r="292" spans="1:8" ht="15.75" hidden="1" customHeight="1" x14ac:dyDescent="0.25">
      <c r="A292" s="275"/>
      <c r="B292" s="293"/>
      <c r="C292" s="119"/>
      <c r="D292" s="120" t="s">
        <v>234</v>
      </c>
      <c r="E292" s="121" t="str">
        <f>IF(E286&gt;=D289,"YES","NO")</f>
        <v>NO</v>
      </c>
      <c r="G292" s="41"/>
      <c r="H292" s="29"/>
    </row>
    <row r="293" spans="1:8" ht="15.75" hidden="1" customHeight="1" x14ac:dyDescent="0.25">
      <c r="A293" s="275"/>
      <c r="B293" s="293"/>
      <c r="C293" s="119"/>
      <c r="D293" s="120" t="s">
        <v>235</v>
      </c>
      <c r="E293" s="121" t="str">
        <f>IF(AND(E286&lt;D289,E287&gt;=D290),"YES","NO")</f>
        <v>NO</v>
      </c>
      <c r="G293" s="41"/>
      <c r="H293" s="29"/>
    </row>
    <row r="294" spans="1:8" ht="15.75" hidden="1" customHeight="1" x14ac:dyDescent="0.25">
      <c r="A294" s="275"/>
      <c r="B294" s="293"/>
      <c r="C294" s="119"/>
      <c r="D294" s="120" t="s">
        <v>236</v>
      </c>
      <c r="E294" s="121" t="str">
        <f>IF(OR(AND(E286&gt;0,E286&lt;D289,E287=0),AND(E287&gt;0,E287&lt;D290,E286=0),AND(E286&gt;0,E286&lt;D289,E287&gt;0,E287&lt;D290)),"YES","NO")</f>
        <v>NO</v>
      </c>
      <c r="G294" s="41"/>
      <c r="H294" s="29"/>
    </row>
    <row r="295" spans="1:8" ht="15.75" hidden="1" customHeight="1" x14ac:dyDescent="0.25">
      <c r="A295" s="275"/>
      <c r="B295" s="293"/>
      <c r="C295" s="119"/>
      <c r="D295" s="120" t="s">
        <v>237</v>
      </c>
      <c r="E295" s="121" t="str">
        <f>IF(AND(E286=0,E287=0,E288&gt;=D291),"YES","NO")</f>
        <v>NO</v>
      </c>
      <c r="G295" s="41"/>
      <c r="H295" s="29"/>
    </row>
    <row r="296" spans="1:8" ht="15.75" hidden="1" customHeight="1" x14ac:dyDescent="0.25">
      <c r="A296" s="275"/>
      <c r="B296" s="293"/>
      <c r="C296" s="119"/>
      <c r="D296" s="120" t="s">
        <v>238</v>
      </c>
      <c r="E296" s="121" t="str">
        <f>IF(AND(E286=0,E287=0,E288&lt;D291),"YES","NO")</f>
        <v>YES</v>
      </c>
      <c r="G296" s="41"/>
      <c r="H296" s="29"/>
    </row>
    <row r="297" spans="1:8" ht="15" customHeight="1" x14ac:dyDescent="0.25">
      <c r="A297" s="276"/>
      <c r="B297" s="294"/>
      <c r="C297" s="283" t="s">
        <v>36</v>
      </c>
      <c r="D297" s="324"/>
      <c r="E297" s="25">
        <f>IF(E292="YES",4,IF(E293="YES",3+E286/D289,IF(E294="YES",2+2*E286/D289+E287/D290-(E286*E287)/(D289*D290),IF(E295="YES",2,2*E288/D291))))</f>
        <v>1</v>
      </c>
      <c r="G297" s="38"/>
      <c r="H297" s="29"/>
    </row>
    <row r="298" spans="1:8" ht="15" customHeight="1" x14ac:dyDescent="0.25">
      <c r="C298" s="39"/>
      <c r="D298" s="67"/>
      <c r="H298" s="40"/>
    </row>
    <row r="299" spans="1:8" ht="48" customHeight="1" x14ac:dyDescent="0.25">
      <c r="A299" s="274">
        <v>26</v>
      </c>
      <c r="B299" s="322"/>
      <c r="C299" s="323" t="s">
        <v>239</v>
      </c>
      <c r="D299" s="323"/>
      <c r="E299" s="46"/>
      <c r="H299" s="202" t="s">
        <v>711</v>
      </c>
    </row>
    <row r="300" spans="1:8" ht="31.35" customHeight="1" x14ac:dyDescent="0.25">
      <c r="A300" s="275"/>
      <c r="B300" s="293"/>
      <c r="C300" s="299" t="s">
        <v>240</v>
      </c>
      <c r="D300" s="300"/>
      <c r="E300" s="258">
        <v>0</v>
      </c>
      <c r="F300" s="8" t="s">
        <v>96</v>
      </c>
      <c r="G300" s="37"/>
      <c r="H300" s="29"/>
    </row>
    <row r="301" spans="1:8" ht="32.1" customHeight="1" x14ac:dyDescent="0.25">
      <c r="A301" s="275"/>
      <c r="B301" s="293"/>
      <c r="C301" s="299" t="s">
        <v>241</v>
      </c>
      <c r="D301" s="300"/>
      <c r="E301" s="258">
        <v>0</v>
      </c>
      <c r="F301" s="8" t="s">
        <v>96</v>
      </c>
      <c r="G301" s="37"/>
      <c r="H301" s="29"/>
    </row>
    <row r="302" spans="1:8" x14ac:dyDescent="0.25">
      <c r="A302" s="275"/>
      <c r="B302" s="293"/>
      <c r="C302" s="299" t="s">
        <v>242</v>
      </c>
      <c r="D302" s="300"/>
      <c r="E302" s="258">
        <v>12</v>
      </c>
      <c r="F302" s="8" t="s">
        <v>96</v>
      </c>
      <c r="G302" s="37"/>
      <c r="H302" s="29"/>
    </row>
    <row r="303" spans="1:8" ht="47.45" customHeight="1" x14ac:dyDescent="0.25">
      <c r="A303" s="275"/>
      <c r="B303" s="293"/>
      <c r="C303" s="299" t="s">
        <v>99</v>
      </c>
      <c r="D303" s="300"/>
      <c r="E303" s="258">
        <v>12</v>
      </c>
      <c r="F303" s="8" t="s">
        <v>96</v>
      </c>
      <c r="G303" s="37"/>
      <c r="H303" s="29"/>
    </row>
    <row r="304" spans="1:8" x14ac:dyDescent="0.25">
      <c r="A304" s="275"/>
      <c r="B304" s="293"/>
      <c r="C304" s="299" t="s">
        <v>231</v>
      </c>
      <c r="D304" s="300"/>
      <c r="E304" s="54">
        <f>IF(E303&gt;0,E300/3/E303,0)</f>
        <v>0</v>
      </c>
      <c r="G304" s="41"/>
      <c r="H304" s="29"/>
    </row>
    <row r="305" spans="1:8" ht="15.75" customHeight="1" x14ac:dyDescent="0.25">
      <c r="A305" s="275"/>
      <c r="B305" s="293"/>
      <c r="C305" s="299" t="s">
        <v>232</v>
      </c>
      <c r="D305" s="300"/>
      <c r="E305" s="54">
        <f>IF(E303&gt;0,E301/3/E303,0)</f>
        <v>0</v>
      </c>
      <c r="G305" s="41"/>
      <c r="H305" s="29"/>
    </row>
    <row r="306" spans="1:8" ht="15.75" customHeight="1" x14ac:dyDescent="0.25">
      <c r="A306" s="275"/>
      <c r="B306" s="293"/>
      <c r="C306" s="299" t="s">
        <v>233</v>
      </c>
      <c r="D306" s="300"/>
      <c r="E306" s="54">
        <f>IF(E303&gt;0,E302/3/E303,0)</f>
        <v>0.33333333333333331</v>
      </c>
      <c r="G306" s="41"/>
      <c r="H306" s="29"/>
    </row>
    <row r="307" spans="1:8" ht="15.75" hidden="1" customHeight="1" x14ac:dyDescent="0.25">
      <c r="A307" s="275"/>
      <c r="B307" s="293"/>
      <c r="C307" s="139" t="s">
        <v>101</v>
      </c>
      <c r="D307" s="122">
        <v>0.05</v>
      </c>
      <c r="E307" s="117"/>
      <c r="G307" s="41"/>
      <c r="H307" s="29"/>
    </row>
    <row r="308" spans="1:8" ht="15.75" hidden="1" customHeight="1" x14ac:dyDescent="0.25">
      <c r="A308" s="275"/>
      <c r="B308" s="293"/>
      <c r="C308" s="139" t="s">
        <v>102</v>
      </c>
      <c r="D308" s="122">
        <v>0.3</v>
      </c>
      <c r="E308" s="117"/>
      <c r="G308" s="41"/>
      <c r="H308" s="29"/>
    </row>
    <row r="309" spans="1:8" ht="15.75" hidden="1" customHeight="1" x14ac:dyDescent="0.25">
      <c r="A309" s="275"/>
      <c r="B309" s="293"/>
      <c r="C309" s="139" t="s">
        <v>103</v>
      </c>
      <c r="D309" s="122">
        <v>1</v>
      </c>
      <c r="E309" s="117"/>
      <c r="G309" s="41"/>
      <c r="H309" s="29"/>
    </row>
    <row r="310" spans="1:8" ht="15.75" hidden="1" customHeight="1" x14ac:dyDescent="0.25">
      <c r="A310" s="275"/>
      <c r="B310" s="293"/>
      <c r="C310" s="119"/>
      <c r="D310" s="120" t="s">
        <v>234</v>
      </c>
      <c r="E310" s="121" t="str">
        <f>IF(E304&gt;=D307,"YES","NO")</f>
        <v>NO</v>
      </c>
      <c r="G310" s="41"/>
      <c r="H310" s="29"/>
    </row>
    <row r="311" spans="1:8" ht="15.75" hidden="1" customHeight="1" x14ac:dyDescent="0.25">
      <c r="A311" s="275"/>
      <c r="B311" s="293"/>
      <c r="C311" s="119"/>
      <c r="D311" s="120" t="s">
        <v>235</v>
      </c>
      <c r="E311" s="121" t="str">
        <f>IF(AND(E304&lt;D307,E305&gt;=D308),"YES","NO")</f>
        <v>NO</v>
      </c>
      <c r="G311" s="41"/>
      <c r="H311" s="29"/>
    </row>
    <row r="312" spans="1:8" ht="15.75" hidden="1" customHeight="1" x14ac:dyDescent="0.25">
      <c r="A312" s="275"/>
      <c r="B312" s="293"/>
      <c r="C312" s="119"/>
      <c r="D312" s="120" t="s">
        <v>236</v>
      </c>
      <c r="E312" s="121" t="str">
        <f>IF(OR(AND(E304&gt;0,E304&lt;D307,E305=0),AND(E305&gt;0,E305&lt;D308,E304=0),AND(E304&gt;0,E304&lt;D307,E305&gt;0,E305&lt;D308)),"YES","NO")</f>
        <v>NO</v>
      </c>
      <c r="G312" s="41"/>
      <c r="H312" s="29"/>
    </row>
    <row r="313" spans="1:8" ht="15.75" hidden="1" customHeight="1" x14ac:dyDescent="0.25">
      <c r="A313" s="275"/>
      <c r="B313" s="293"/>
      <c r="C313" s="119"/>
      <c r="D313" s="120" t="s">
        <v>237</v>
      </c>
      <c r="E313" s="121" t="str">
        <f>IF(AND(E304=0,E305=0,E306&gt;=D309),"YES","NO")</f>
        <v>NO</v>
      </c>
      <c r="G313" s="41"/>
      <c r="H313" s="29"/>
    </row>
    <row r="314" spans="1:8" ht="15.75" hidden="1" customHeight="1" x14ac:dyDescent="0.25">
      <c r="A314" s="275"/>
      <c r="B314" s="293"/>
      <c r="C314" s="119"/>
      <c r="D314" s="120" t="s">
        <v>238</v>
      </c>
      <c r="E314" s="121" t="str">
        <f>IF(AND(E304=0,E305=0,E306&lt;D309),"YES","NO")</f>
        <v>YES</v>
      </c>
      <c r="G314" s="41"/>
      <c r="H314" s="29"/>
    </row>
    <row r="315" spans="1:8" ht="15" customHeight="1" x14ac:dyDescent="0.25">
      <c r="A315" s="276"/>
      <c r="B315" s="294"/>
      <c r="C315" s="283" t="s">
        <v>36</v>
      </c>
      <c r="D315" s="324"/>
      <c r="E315" s="25">
        <f>IF(E310="YES",4,IF(E311="YES",3+E304/D307,IF(E312="YES",2+2*E304/D307+E305/D308-(E304*E305)/(D307*D308),IF(E313="YES",2,2*E306/D309))))</f>
        <v>0.66666666666666663</v>
      </c>
      <c r="G315" s="38"/>
      <c r="H315" s="29"/>
    </row>
    <row r="316" spans="1:8" ht="15" customHeight="1" x14ac:dyDescent="0.25">
      <c r="C316" s="39"/>
      <c r="D316" s="67"/>
      <c r="H316" s="40"/>
    </row>
    <row r="317" spans="1:8" ht="48" customHeight="1" x14ac:dyDescent="0.25">
      <c r="A317" s="274">
        <v>27</v>
      </c>
      <c r="B317" s="322"/>
      <c r="C317" s="323" t="s">
        <v>243</v>
      </c>
      <c r="D317" s="323"/>
      <c r="E317" s="46"/>
      <c r="H317" s="202" t="s">
        <v>712</v>
      </c>
    </row>
    <row r="318" spans="1:8" x14ac:dyDescent="0.25">
      <c r="A318" s="275"/>
      <c r="B318" s="293"/>
      <c r="C318" s="299" t="s">
        <v>244</v>
      </c>
      <c r="D318" s="300"/>
      <c r="E318" s="258">
        <v>36</v>
      </c>
      <c r="F318" s="8" t="s">
        <v>96</v>
      </c>
      <c r="G318" s="37"/>
      <c r="H318" s="29"/>
    </row>
    <row r="319" spans="1:8" x14ac:dyDescent="0.25">
      <c r="A319" s="275"/>
      <c r="B319" s="293"/>
      <c r="C319" s="299" t="s">
        <v>245</v>
      </c>
      <c r="D319" s="300"/>
      <c r="E319" s="258">
        <v>2</v>
      </c>
      <c r="F319" s="8" t="s">
        <v>96</v>
      </c>
      <c r="G319" s="37"/>
      <c r="H319" s="29"/>
    </row>
    <row r="320" spans="1:8" x14ac:dyDescent="0.25">
      <c r="A320" s="275"/>
      <c r="B320" s="293"/>
      <c r="C320" s="299" t="s">
        <v>246</v>
      </c>
      <c r="D320" s="300"/>
      <c r="E320" s="258">
        <v>0</v>
      </c>
      <c r="F320" s="8" t="s">
        <v>96</v>
      </c>
      <c r="G320" s="37"/>
      <c r="H320" s="29"/>
    </row>
    <row r="321" spans="1:8" x14ac:dyDescent="0.25">
      <c r="A321" s="275"/>
      <c r="B321" s="293"/>
      <c r="C321" s="299" t="s">
        <v>247</v>
      </c>
      <c r="D321" s="300"/>
      <c r="E321" s="258">
        <v>0</v>
      </c>
      <c r="F321" s="8" t="s">
        <v>96</v>
      </c>
      <c r="G321" s="37"/>
      <c r="H321" s="29"/>
    </row>
    <row r="322" spans="1:8" x14ac:dyDescent="0.25">
      <c r="A322" s="275"/>
      <c r="B322" s="293"/>
      <c r="C322" s="299" t="s">
        <v>248</v>
      </c>
      <c r="D322" s="300"/>
      <c r="E322" s="258">
        <v>5</v>
      </c>
      <c r="F322" s="8" t="s">
        <v>96</v>
      </c>
      <c r="G322" s="37"/>
      <c r="H322" s="29"/>
    </row>
    <row r="323" spans="1:8" x14ac:dyDescent="0.25">
      <c r="A323" s="275"/>
      <c r="B323" s="293"/>
      <c r="C323" s="299" t="s">
        <v>249</v>
      </c>
      <c r="D323" s="300"/>
      <c r="E323" s="258">
        <v>0</v>
      </c>
      <c r="F323" s="8" t="s">
        <v>96</v>
      </c>
      <c r="G323" s="37"/>
      <c r="H323" s="29"/>
    </row>
    <row r="324" spans="1:8" x14ac:dyDescent="0.25">
      <c r="A324" s="275"/>
      <c r="B324" s="293"/>
      <c r="C324" s="299" t="s">
        <v>250</v>
      </c>
      <c r="D324" s="300"/>
      <c r="E324" s="258">
        <v>0</v>
      </c>
      <c r="F324" s="8" t="s">
        <v>96</v>
      </c>
      <c r="G324" s="37"/>
      <c r="H324" s="29"/>
    </row>
    <row r="325" spans="1:8" ht="14.45" customHeight="1" x14ac:dyDescent="0.25">
      <c r="A325" s="275"/>
      <c r="B325" s="293"/>
      <c r="C325" s="299" t="s">
        <v>251</v>
      </c>
      <c r="D325" s="300"/>
      <c r="E325" s="258">
        <v>1</v>
      </c>
      <c r="F325" s="8" t="s">
        <v>96</v>
      </c>
      <c r="G325" s="37"/>
      <c r="H325" s="29"/>
    </row>
    <row r="326" spans="1:8" ht="14.45" customHeight="1" x14ac:dyDescent="0.25">
      <c r="A326" s="275"/>
      <c r="B326" s="293"/>
      <c r="C326" s="299" t="s">
        <v>252</v>
      </c>
      <c r="D326" s="300"/>
      <c r="E326" s="258">
        <v>0</v>
      </c>
      <c r="F326" s="8" t="s">
        <v>96</v>
      </c>
      <c r="G326" s="37"/>
      <c r="H326" s="29"/>
    </row>
    <row r="327" spans="1:8" ht="14.45" customHeight="1" x14ac:dyDescent="0.25">
      <c r="A327" s="275"/>
      <c r="B327" s="293"/>
      <c r="C327" s="299" t="s">
        <v>253</v>
      </c>
      <c r="D327" s="300"/>
      <c r="E327" s="258">
        <v>0</v>
      </c>
      <c r="F327" s="8" t="s">
        <v>96</v>
      </c>
      <c r="G327" s="37"/>
      <c r="H327" s="29"/>
    </row>
    <row r="328" spans="1:8" ht="47.45" customHeight="1" x14ac:dyDescent="0.25">
      <c r="A328" s="275"/>
      <c r="B328" s="293"/>
      <c r="C328" s="299" t="s">
        <v>99</v>
      </c>
      <c r="D328" s="300"/>
      <c r="E328" s="258">
        <v>12</v>
      </c>
      <c r="F328" s="8" t="s">
        <v>96</v>
      </c>
      <c r="G328" s="37"/>
      <c r="H328" s="29"/>
    </row>
    <row r="329" spans="1:8" x14ac:dyDescent="0.25">
      <c r="A329" s="275"/>
      <c r="B329" s="293"/>
      <c r="C329" s="299" t="s">
        <v>254</v>
      </c>
      <c r="D329" s="300"/>
      <c r="E329" s="54">
        <f>IF(E328&gt;0,(E321+E324+E327)/E328,0)</f>
        <v>0</v>
      </c>
      <c r="G329" s="41"/>
      <c r="H329" s="29"/>
    </row>
    <row r="330" spans="1:8" ht="15.75" customHeight="1" x14ac:dyDescent="0.25">
      <c r="A330" s="275"/>
      <c r="B330" s="293"/>
      <c r="C330" s="299" t="s">
        <v>255</v>
      </c>
      <c r="D330" s="300"/>
      <c r="E330" s="54">
        <f>IF(E328&gt;0,(E319+E320+E323+E326)/E328,0)</f>
        <v>0.16666666666666666</v>
      </c>
      <c r="G330" s="41"/>
      <c r="H330" s="29"/>
    </row>
    <row r="331" spans="1:8" ht="15.75" customHeight="1" x14ac:dyDescent="0.25">
      <c r="A331" s="275"/>
      <c r="B331" s="293"/>
      <c r="C331" s="299" t="s">
        <v>256</v>
      </c>
      <c r="D331" s="300"/>
      <c r="E331" s="54">
        <f>IF(E328&gt;0,(E322+E325+E318)/E328,0)</f>
        <v>3.5</v>
      </c>
      <c r="G331" s="41"/>
      <c r="H331" s="29"/>
    </row>
    <row r="332" spans="1:8" ht="15.75" hidden="1" customHeight="1" x14ac:dyDescent="0.25">
      <c r="A332" s="275"/>
      <c r="B332" s="293"/>
      <c r="C332" s="139" t="s">
        <v>101</v>
      </c>
      <c r="D332" s="122">
        <v>0.1</v>
      </c>
      <c r="E332" s="117"/>
      <c r="G332" s="41"/>
      <c r="H332" s="29"/>
    </row>
    <row r="333" spans="1:8" ht="15.75" hidden="1" customHeight="1" x14ac:dyDescent="0.25">
      <c r="A333" s="275"/>
      <c r="B333" s="293"/>
      <c r="C333" s="139" t="s">
        <v>102</v>
      </c>
      <c r="D333" s="122">
        <v>1</v>
      </c>
      <c r="E333" s="117"/>
      <c r="G333" s="41"/>
      <c r="H333" s="29"/>
    </row>
    <row r="334" spans="1:8" ht="15.75" hidden="1" customHeight="1" x14ac:dyDescent="0.25">
      <c r="A334" s="275"/>
      <c r="B334" s="293"/>
      <c r="C334" s="139" t="s">
        <v>103</v>
      </c>
      <c r="D334" s="122">
        <v>2</v>
      </c>
      <c r="E334" s="117"/>
      <c r="G334" s="41"/>
      <c r="H334" s="29"/>
    </row>
    <row r="335" spans="1:8" ht="15.75" hidden="1" customHeight="1" x14ac:dyDescent="0.25">
      <c r="A335" s="275"/>
      <c r="B335" s="293"/>
      <c r="C335" s="119"/>
      <c r="D335" s="120" t="s">
        <v>234</v>
      </c>
      <c r="E335" s="121" t="str">
        <f>IF(E329&gt;=D332,"YES","NO")</f>
        <v>NO</v>
      </c>
      <c r="G335" s="41"/>
      <c r="H335" s="29"/>
    </row>
    <row r="336" spans="1:8" ht="15.75" hidden="1" customHeight="1" x14ac:dyDescent="0.25">
      <c r="A336" s="275"/>
      <c r="B336" s="293"/>
      <c r="C336" s="119"/>
      <c r="D336" s="120" t="s">
        <v>235</v>
      </c>
      <c r="E336" s="121" t="str">
        <f>IF(AND(E329&lt;D332,E330&gt;=D333),"YES","NO")</f>
        <v>NO</v>
      </c>
      <c r="G336" s="41"/>
      <c r="H336" s="29"/>
    </row>
    <row r="337" spans="1:8" ht="15.75" hidden="1" customHeight="1" x14ac:dyDescent="0.25">
      <c r="A337" s="275"/>
      <c r="B337" s="293"/>
      <c r="C337" s="119"/>
      <c r="D337" s="120" t="s">
        <v>236</v>
      </c>
      <c r="E337" s="121" t="str">
        <f>IF(OR(AND(E329&gt;0,E329&lt;D332,E330=0),AND(E330&gt;0,E330&lt;D333,E329=0),AND(E329&gt;0,E329&lt;D332,E330&gt;0,E330&lt;D333)),"YES","NO")</f>
        <v>YES</v>
      </c>
      <c r="G337" s="41"/>
      <c r="H337" s="29"/>
    </row>
    <row r="338" spans="1:8" ht="15.75" hidden="1" customHeight="1" x14ac:dyDescent="0.25">
      <c r="A338" s="275"/>
      <c r="B338" s="293"/>
      <c r="C338" s="119"/>
      <c r="D338" s="120" t="s">
        <v>237</v>
      </c>
      <c r="E338" s="121" t="str">
        <f>IF(AND(E329=0,E330=0,E331&gt;=D334),"YES","NO")</f>
        <v>NO</v>
      </c>
      <c r="G338" s="41"/>
      <c r="H338" s="29"/>
    </row>
    <row r="339" spans="1:8" ht="15.75" hidden="1" customHeight="1" x14ac:dyDescent="0.25">
      <c r="A339" s="275"/>
      <c r="B339" s="293"/>
      <c r="C339" s="119"/>
      <c r="D339" s="120" t="s">
        <v>238</v>
      </c>
      <c r="E339" s="121" t="str">
        <f>IF(AND(E329=0,E330=0,E331&lt;D334),"YES","NO")</f>
        <v>NO</v>
      </c>
      <c r="G339" s="41"/>
      <c r="H339" s="29"/>
    </row>
    <row r="340" spans="1:8" ht="15" customHeight="1" x14ac:dyDescent="0.25">
      <c r="A340" s="276"/>
      <c r="B340" s="294"/>
      <c r="C340" s="283" t="s">
        <v>36</v>
      </c>
      <c r="D340" s="324"/>
      <c r="E340" s="25">
        <f>IF(E335="YES",4,IF(E336="YES",3+E329/D332,IF(E337="YES",2+2*E329/D332+E330/D333-(E329*E330)/(D332*D333),IF(E338="YES",2,2*E331/D334))))</f>
        <v>2.1666666666666665</v>
      </c>
      <c r="G340" s="38"/>
      <c r="H340" s="29"/>
    </row>
    <row r="341" spans="1:8" ht="15" customHeight="1" x14ac:dyDescent="0.25">
      <c r="C341" s="39"/>
      <c r="D341" s="67"/>
      <c r="H341" s="40"/>
    </row>
    <row r="342" spans="1:8" ht="36" customHeight="1" x14ac:dyDescent="0.25">
      <c r="A342" s="274">
        <v>28</v>
      </c>
      <c r="B342" s="322"/>
      <c r="C342" s="323" t="s">
        <v>257</v>
      </c>
      <c r="D342" s="323"/>
      <c r="E342" s="96"/>
      <c r="H342" s="202" t="s">
        <v>713</v>
      </c>
    </row>
    <row r="343" spans="1:8" ht="14.45" customHeight="1" x14ac:dyDescent="0.25">
      <c r="A343" s="275"/>
      <c r="B343" s="293"/>
      <c r="C343" s="299" t="s">
        <v>258</v>
      </c>
      <c r="D343" s="300"/>
      <c r="E343" s="260">
        <v>0</v>
      </c>
      <c r="F343" s="8" t="s">
        <v>96</v>
      </c>
      <c r="G343" s="37"/>
      <c r="H343" s="29"/>
    </row>
    <row r="344" spans="1:8" ht="48" customHeight="1" x14ac:dyDescent="0.25">
      <c r="A344" s="275"/>
      <c r="B344" s="293"/>
      <c r="C344" s="299" t="s">
        <v>99</v>
      </c>
      <c r="D344" s="300"/>
      <c r="E344" s="260">
        <v>12</v>
      </c>
      <c r="F344" s="8" t="s">
        <v>96</v>
      </c>
      <c r="G344" s="37"/>
      <c r="H344" s="29"/>
    </row>
    <row r="345" spans="1:8" ht="14.45" customHeight="1" x14ac:dyDescent="0.25">
      <c r="A345" s="275"/>
      <c r="B345" s="293"/>
      <c r="C345" s="299" t="s">
        <v>259</v>
      </c>
      <c r="D345" s="300"/>
      <c r="E345" s="94">
        <f>IF(E344&gt;0,E343/E344,0)</f>
        <v>0</v>
      </c>
      <c r="G345" s="37"/>
      <c r="H345" s="29"/>
    </row>
    <row r="346" spans="1:8" ht="14.45" hidden="1" customHeight="1" x14ac:dyDescent="0.25">
      <c r="A346" s="275"/>
      <c r="B346" s="293"/>
      <c r="C346" s="119" t="s">
        <v>154</v>
      </c>
      <c r="D346" s="120">
        <v>0.5</v>
      </c>
      <c r="E346" s="185"/>
      <c r="G346" s="37"/>
      <c r="H346" s="29"/>
    </row>
    <row r="347" spans="1:8" ht="15" customHeight="1" x14ac:dyDescent="0.25">
      <c r="A347" s="276"/>
      <c r="B347" s="294"/>
      <c r="C347" s="283" t="s">
        <v>36</v>
      </c>
      <c r="D347" s="324"/>
      <c r="E347" s="184">
        <f>IF(E345&gt;=D346,4,2+2/D346*E345)</f>
        <v>2</v>
      </c>
      <c r="G347" s="38"/>
      <c r="H347" s="29"/>
    </row>
    <row r="348" spans="1:8" ht="15" customHeight="1" x14ac:dyDescent="0.25">
      <c r="C348" s="39"/>
      <c r="D348" s="67"/>
      <c r="H348" s="40"/>
    </row>
    <row r="349" spans="1:8" ht="48.6" hidden="1" customHeight="1" x14ac:dyDescent="0.25">
      <c r="A349" s="309"/>
      <c r="B349" s="301"/>
      <c r="C349" s="304"/>
      <c r="D349" s="304"/>
      <c r="E349" s="186"/>
      <c r="H349" s="202"/>
    </row>
    <row r="350" spans="1:8" ht="34.35" hidden="1" customHeight="1" x14ac:dyDescent="0.25">
      <c r="A350" s="310"/>
      <c r="B350" s="302"/>
      <c r="C350" s="305"/>
      <c r="D350" s="306"/>
      <c r="E350" s="187"/>
      <c r="G350" s="37"/>
      <c r="H350" s="29"/>
    </row>
    <row r="351" spans="1:8" ht="48" hidden="1" customHeight="1" x14ac:dyDescent="0.25">
      <c r="A351" s="310"/>
      <c r="B351" s="302"/>
      <c r="C351" s="305"/>
      <c r="D351" s="306"/>
      <c r="E351" s="187"/>
      <c r="G351" s="37"/>
      <c r="H351" s="29"/>
    </row>
    <row r="352" spans="1:8" ht="14.45" hidden="1" customHeight="1" x14ac:dyDescent="0.25">
      <c r="A352" s="310"/>
      <c r="B352" s="302"/>
      <c r="C352" s="305"/>
      <c r="D352" s="306"/>
      <c r="E352" s="177"/>
      <c r="G352" s="37"/>
      <c r="H352" s="29"/>
    </row>
    <row r="353" spans="1:8" ht="15.75" hidden="1" customHeight="1" x14ac:dyDescent="0.25">
      <c r="A353" s="310"/>
      <c r="B353" s="302"/>
      <c r="C353" s="139"/>
      <c r="D353" s="122"/>
      <c r="E353" s="117"/>
      <c r="G353" s="41"/>
      <c r="H353" s="29"/>
    </row>
    <row r="354" spans="1:8" ht="15" hidden="1" customHeight="1" x14ac:dyDescent="0.25">
      <c r="A354" s="311"/>
      <c r="B354" s="303"/>
      <c r="C354" s="307"/>
      <c r="D354" s="308"/>
      <c r="E354" s="113"/>
      <c r="G354" s="38"/>
      <c r="H354" s="29"/>
    </row>
    <row r="355" spans="1:8" ht="15" hidden="1" customHeight="1" x14ac:dyDescent="0.25">
      <c r="C355" s="39"/>
      <c r="D355" s="67"/>
      <c r="H355" s="40"/>
    </row>
    <row r="356" spans="1:8" ht="51.75" customHeight="1" x14ac:dyDescent="0.25">
      <c r="A356" s="274">
        <v>29</v>
      </c>
      <c r="B356" s="322"/>
      <c r="C356" s="323" t="s">
        <v>260</v>
      </c>
      <c r="D356" s="323"/>
      <c r="E356" s="36"/>
      <c r="H356" s="202" t="s">
        <v>714</v>
      </c>
    </row>
    <row r="357" spans="1:8" ht="29.25" customHeight="1" x14ac:dyDescent="0.25">
      <c r="A357" s="275"/>
      <c r="B357" s="293"/>
      <c r="C357" s="299" t="s">
        <v>261</v>
      </c>
      <c r="D357" s="300"/>
      <c r="E357" s="258">
        <v>0</v>
      </c>
      <c r="F357" s="8" t="s">
        <v>96</v>
      </c>
      <c r="G357" s="37"/>
      <c r="H357" s="29"/>
    </row>
    <row r="358" spans="1:8" ht="44.25" customHeight="1" x14ac:dyDescent="0.25">
      <c r="A358" s="275"/>
      <c r="B358" s="293"/>
      <c r="C358" s="299" t="s">
        <v>262</v>
      </c>
      <c r="D358" s="300"/>
      <c r="E358" s="258">
        <v>0</v>
      </c>
      <c r="F358" s="8" t="s">
        <v>96</v>
      </c>
      <c r="G358" s="37"/>
      <c r="H358" s="29"/>
    </row>
    <row r="359" spans="1:8" ht="43.5" customHeight="1" x14ac:dyDescent="0.25">
      <c r="A359" s="275"/>
      <c r="B359" s="293"/>
      <c r="C359" s="299" t="s">
        <v>263</v>
      </c>
      <c r="D359" s="300"/>
      <c r="E359" s="258">
        <v>0</v>
      </c>
      <c r="F359" s="8" t="s">
        <v>96</v>
      </c>
      <c r="G359" s="37"/>
      <c r="H359" s="29"/>
    </row>
    <row r="360" spans="1:8" ht="29.25" customHeight="1" x14ac:dyDescent="0.25">
      <c r="A360" s="275"/>
      <c r="B360" s="293"/>
      <c r="C360" s="299" t="s">
        <v>264</v>
      </c>
      <c r="D360" s="300"/>
      <c r="E360" s="258">
        <v>0</v>
      </c>
      <c r="F360" s="8" t="s">
        <v>96</v>
      </c>
      <c r="G360" s="37"/>
      <c r="H360" s="29"/>
    </row>
    <row r="361" spans="1:8" ht="48" customHeight="1" x14ac:dyDescent="0.25">
      <c r="A361" s="275"/>
      <c r="B361" s="293"/>
      <c r="C361" s="299" t="s">
        <v>99</v>
      </c>
      <c r="D361" s="300"/>
      <c r="E361" s="258">
        <v>12</v>
      </c>
      <c r="F361" s="8" t="s">
        <v>96</v>
      </c>
      <c r="G361" s="37"/>
      <c r="H361" s="29"/>
    </row>
    <row r="362" spans="1:8" x14ac:dyDescent="0.25">
      <c r="A362" s="275"/>
      <c r="B362" s="293"/>
      <c r="C362" s="299" t="s">
        <v>265</v>
      </c>
      <c r="D362" s="300"/>
      <c r="E362" s="54">
        <f>IF(E361&gt;0,(2*(E357+E358+E359)+E360)/E361,0)</f>
        <v>0</v>
      </c>
      <c r="G362" s="37"/>
      <c r="H362" s="29"/>
    </row>
    <row r="363" spans="1:8" ht="15.75" hidden="1" customHeight="1" x14ac:dyDescent="0.25">
      <c r="A363" s="275"/>
      <c r="B363" s="293"/>
      <c r="C363" s="139" t="s">
        <v>102</v>
      </c>
      <c r="D363" s="122">
        <v>1</v>
      </c>
      <c r="E363" s="117"/>
      <c r="G363" s="41"/>
      <c r="H363" s="29"/>
    </row>
    <row r="364" spans="1:8" ht="15" customHeight="1" x14ac:dyDescent="0.25">
      <c r="A364" s="276"/>
      <c r="B364" s="294"/>
      <c r="C364" s="283" t="s">
        <v>36</v>
      </c>
      <c r="D364" s="324"/>
      <c r="E364" s="25">
        <f>IF(E362&gt;=D363,4,2+2/D363*E362)</f>
        <v>2</v>
      </c>
      <c r="G364" s="38"/>
      <c r="H364" s="29"/>
    </row>
    <row r="365" spans="1:8" ht="15" customHeight="1" x14ac:dyDescent="0.25">
      <c r="C365" s="39"/>
      <c r="D365" s="67"/>
      <c r="H365" s="40"/>
    </row>
    <row r="366" spans="1:8" ht="50.25" customHeight="1" x14ac:dyDescent="0.25">
      <c r="A366" s="274">
        <v>30</v>
      </c>
      <c r="B366" s="322" t="s">
        <v>266</v>
      </c>
      <c r="C366" s="320" t="s">
        <v>267</v>
      </c>
      <c r="D366" s="321"/>
      <c r="E366" s="21">
        <v>2</v>
      </c>
      <c r="F366" s="8" t="str">
        <f>IF(OR(ISBLANK(E366),E366&gt;4),"Salah isi","judge")</f>
        <v>judge</v>
      </c>
      <c r="H366" s="265" t="s">
        <v>746</v>
      </c>
    </row>
    <row r="367" spans="1:8" x14ac:dyDescent="0.25">
      <c r="A367" s="275"/>
      <c r="B367" s="293"/>
      <c r="C367" s="299" t="s">
        <v>268</v>
      </c>
      <c r="D367" s="300"/>
      <c r="E367" s="97">
        <f>AVERAGE(E195,E202,E209,E218,E239,E247,E257,E265,E272)</f>
        <v>3.0481632653061226</v>
      </c>
      <c r="H367" s="29"/>
    </row>
    <row r="368" spans="1:8" ht="43.7" customHeight="1" x14ac:dyDescent="0.25">
      <c r="A368" s="275"/>
      <c r="B368" s="293"/>
      <c r="C368" s="22">
        <v>4</v>
      </c>
      <c r="D368" s="60" t="s">
        <v>269</v>
      </c>
      <c r="E368" s="23"/>
      <c r="H368" s="29"/>
    </row>
    <row r="369" spans="1:8" ht="29.1" customHeight="1" x14ac:dyDescent="0.25">
      <c r="A369" s="275"/>
      <c r="B369" s="293"/>
      <c r="C369" s="22">
        <v>3</v>
      </c>
      <c r="D369" s="60" t="s">
        <v>270</v>
      </c>
      <c r="E369" s="23"/>
      <c r="H369" s="29"/>
    </row>
    <row r="370" spans="1:8" ht="29.1" customHeight="1" x14ac:dyDescent="0.25">
      <c r="A370" s="275"/>
      <c r="B370" s="293"/>
      <c r="C370" s="22">
        <v>2</v>
      </c>
      <c r="D370" s="60" t="s">
        <v>271</v>
      </c>
      <c r="E370" s="23"/>
      <c r="H370" s="29"/>
    </row>
    <row r="371" spans="1:8" ht="43.7" customHeight="1" x14ac:dyDescent="0.25">
      <c r="A371" s="275"/>
      <c r="B371" s="293"/>
      <c r="C371" s="22">
        <v>1</v>
      </c>
      <c r="D371" s="60" t="s">
        <v>272</v>
      </c>
      <c r="E371" s="23"/>
      <c r="H371" s="29"/>
    </row>
    <row r="372" spans="1:8" ht="29.1" customHeight="1" x14ac:dyDescent="0.25">
      <c r="A372" s="275"/>
      <c r="B372" s="293"/>
      <c r="C372" s="22">
        <v>0</v>
      </c>
      <c r="D372" s="60" t="s">
        <v>273</v>
      </c>
      <c r="E372" s="24"/>
      <c r="H372" s="29"/>
    </row>
    <row r="373" spans="1:8" ht="15" customHeight="1" x14ac:dyDescent="0.25">
      <c r="A373" s="276"/>
      <c r="B373" s="294"/>
      <c r="C373" s="289" t="s">
        <v>36</v>
      </c>
      <c r="D373" s="290"/>
      <c r="E373" s="25">
        <f>IF(F366="Salah isi",0,IF(E367&gt;=3.5,4,E366))</f>
        <v>2</v>
      </c>
      <c r="H373" s="29"/>
    </row>
    <row r="374" spans="1:8" ht="15" customHeight="1" x14ac:dyDescent="0.25">
      <c r="A374" s="26"/>
      <c r="B374" s="26"/>
      <c r="C374" s="27"/>
      <c r="D374" s="62"/>
      <c r="E374" s="28"/>
      <c r="H374" s="29"/>
    </row>
    <row r="375" spans="1:8" ht="115.5" customHeight="1" x14ac:dyDescent="0.25">
      <c r="A375" s="274">
        <v>31</v>
      </c>
      <c r="B375" s="322" t="s">
        <v>274</v>
      </c>
      <c r="C375" s="320" t="s">
        <v>275</v>
      </c>
      <c r="D375" s="327"/>
      <c r="E375" s="21">
        <v>2</v>
      </c>
      <c r="F375" s="8" t="str">
        <f>IF(OR(ISBLANK(E375),E375&gt;4),"Salah isi","judge")</f>
        <v>judge</v>
      </c>
      <c r="H375" s="265" t="s">
        <v>747</v>
      </c>
    </row>
    <row r="376" spans="1:8" ht="58.35" customHeight="1" x14ac:dyDescent="0.25">
      <c r="A376" s="275"/>
      <c r="B376" s="293"/>
      <c r="C376" s="30">
        <v>4</v>
      </c>
      <c r="D376" s="65" t="s">
        <v>276</v>
      </c>
      <c r="E376" s="31"/>
      <c r="H376" s="29"/>
    </row>
    <row r="377" spans="1:8" ht="58.35" customHeight="1" x14ac:dyDescent="0.25">
      <c r="A377" s="275"/>
      <c r="B377" s="293"/>
      <c r="C377" s="30">
        <v>3</v>
      </c>
      <c r="D377" s="65" t="s">
        <v>277</v>
      </c>
      <c r="E377" s="31"/>
      <c r="H377" s="29"/>
    </row>
    <row r="378" spans="1:8" ht="43.7" customHeight="1" x14ac:dyDescent="0.25">
      <c r="A378" s="275"/>
      <c r="B378" s="293"/>
      <c r="C378" s="30">
        <v>2</v>
      </c>
      <c r="D378" s="65" t="s">
        <v>278</v>
      </c>
      <c r="E378" s="31"/>
      <c r="H378" s="29"/>
    </row>
    <row r="379" spans="1:8" ht="43.7" customHeight="1" x14ac:dyDescent="0.25">
      <c r="A379" s="275"/>
      <c r="B379" s="293"/>
      <c r="C379" s="30">
        <v>1</v>
      </c>
      <c r="D379" s="68" t="s">
        <v>279</v>
      </c>
      <c r="E379" s="31"/>
      <c r="H379" s="29"/>
    </row>
    <row r="380" spans="1:8" ht="43.7" customHeight="1" x14ac:dyDescent="0.25">
      <c r="A380" s="275"/>
      <c r="B380" s="293"/>
      <c r="C380" s="85">
        <v>0</v>
      </c>
      <c r="D380" s="86" t="s">
        <v>280</v>
      </c>
      <c r="E380" s="87"/>
      <c r="H380" s="29"/>
    </row>
    <row r="381" spans="1:8" ht="42" customHeight="1" x14ac:dyDescent="0.25">
      <c r="A381" s="275"/>
      <c r="B381" s="293"/>
      <c r="C381" s="299" t="s">
        <v>281</v>
      </c>
      <c r="D381" s="300"/>
      <c r="E381" s="88">
        <v>0</v>
      </c>
      <c r="F381" s="8" t="str">
        <f>IF(OR(ISBLANK(E381),E381&gt;4),"Salah isi","judge")</f>
        <v>judge</v>
      </c>
      <c r="H381" s="29"/>
    </row>
    <row r="382" spans="1:8" ht="72.95" customHeight="1" x14ac:dyDescent="0.25">
      <c r="A382" s="275"/>
      <c r="B382" s="293"/>
      <c r="C382" s="30">
        <v>4</v>
      </c>
      <c r="D382" s="65" t="s">
        <v>282</v>
      </c>
      <c r="E382" s="31"/>
      <c r="H382" s="29"/>
    </row>
    <row r="383" spans="1:8" ht="72.95" customHeight="1" x14ac:dyDescent="0.25">
      <c r="A383" s="275"/>
      <c r="B383" s="293"/>
      <c r="C383" s="30">
        <v>3</v>
      </c>
      <c r="D383" s="65" t="s">
        <v>283</v>
      </c>
      <c r="E383" s="31"/>
      <c r="H383" s="29"/>
    </row>
    <row r="384" spans="1:8" ht="43.7" customHeight="1" x14ac:dyDescent="0.25">
      <c r="A384" s="275"/>
      <c r="B384" s="293"/>
      <c r="C384" s="30">
        <v>2</v>
      </c>
      <c r="D384" s="65" t="s">
        <v>284</v>
      </c>
      <c r="E384" s="31"/>
      <c r="H384" s="29"/>
    </row>
    <row r="385" spans="1:8" ht="29.1" customHeight="1" x14ac:dyDescent="0.25">
      <c r="A385" s="275"/>
      <c r="B385" s="293"/>
      <c r="C385" s="30">
        <v>1</v>
      </c>
      <c r="D385" s="68" t="s">
        <v>285</v>
      </c>
      <c r="E385" s="31"/>
      <c r="H385" s="29"/>
    </row>
    <row r="386" spans="1:8" x14ac:dyDescent="0.25">
      <c r="A386" s="275"/>
      <c r="B386" s="293"/>
      <c r="C386" s="30">
        <v>0</v>
      </c>
      <c r="D386" s="65" t="s">
        <v>286</v>
      </c>
      <c r="E386" s="32"/>
      <c r="H386" s="29"/>
    </row>
    <row r="387" spans="1:8" ht="15" customHeight="1" x14ac:dyDescent="0.25">
      <c r="A387" s="276"/>
      <c r="B387" s="294"/>
      <c r="C387" s="289" t="s">
        <v>287</v>
      </c>
      <c r="D387" s="290"/>
      <c r="E387" s="25">
        <f>IF(OR(F375="Salah isi",F381="Salah isi"),0,(E375+E381)/2)</f>
        <v>1</v>
      </c>
      <c r="H387" s="29"/>
    </row>
    <row r="388" spans="1:8" ht="15" customHeight="1" x14ac:dyDescent="0.25">
      <c r="A388" s="26"/>
      <c r="B388" s="26"/>
      <c r="C388" s="27"/>
      <c r="D388" s="62"/>
      <c r="E388" s="28"/>
      <c r="H388" s="29"/>
    </row>
    <row r="389" spans="1:8" ht="45" customHeight="1" x14ac:dyDescent="0.25">
      <c r="A389" s="274">
        <v>32</v>
      </c>
      <c r="B389" s="322" t="s">
        <v>288</v>
      </c>
      <c r="C389" s="323" t="s">
        <v>289</v>
      </c>
      <c r="D389" s="323"/>
      <c r="E389" s="46"/>
      <c r="H389" s="265" t="s">
        <v>715</v>
      </c>
    </row>
    <row r="390" spans="1:8" ht="21.6" customHeight="1" x14ac:dyDescent="0.25">
      <c r="A390" s="275"/>
      <c r="B390" s="293"/>
      <c r="C390" s="299" t="s">
        <v>290</v>
      </c>
      <c r="D390" s="300"/>
      <c r="E390" s="262">
        <v>11</v>
      </c>
      <c r="F390" s="8" t="s">
        <v>96</v>
      </c>
      <c r="G390" s="37"/>
      <c r="H390" s="29"/>
    </row>
    <row r="391" spans="1:8" ht="23.45" customHeight="1" x14ac:dyDescent="0.25">
      <c r="A391" s="275"/>
      <c r="B391" s="293"/>
      <c r="C391" s="299" t="s">
        <v>291</v>
      </c>
      <c r="D391" s="300"/>
      <c r="E391" s="258">
        <v>11</v>
      </c>
      <c r="F391" s="8" t="s">
        <v>96</v>
      </c>
      <c r="G391" s="37"/>
      <c r="H391" s="29"/>
    </row>
    <row r="392" spans="1:8" ht="32.450000000000003" customHeight="1" x14ac:dyDescent="0.25">
      <c r="A392" s="275"/>
      <c r="B392" s="293"/>
      <c r="C392" s="299" t="s">
        <v>292</v>
      </c>
      <c r="D392" s="300"/>
      <c r="E392" s="256">
        <f>IF(E391&gt;0,E390/3/E391,0)*3/Menu!N15</f>
        <v>0.33333333333333331</v>
      </c>
      <c r="G392" s="43"/>
      <c r="H392" s="29"/>
    </row>
    <row r="393" spans="1:8" ht="14.45" hidden="1" customHeight="1" x14ac:dyDescent="0.25">
      <c r="A393" s="275"/>
      <c r="B393" s="293"/>
      <c r="C393" s="119" t="s">
        <v>154</v>
      </c>
      <c r="D393" s="120">
        <v>20000000</v>
      </c>
      <c r="E393" s="153"/>
      <c r="G393" s="43"/>
      <c r="H393" s="29"/>
    </row>
    <row r="394" spans="1:8" ht="15" customHeight="1" x14ac:dyDescent="0.25">
      <c r="A394" s="276"/>
      <c r="B394" s="294"/>
      <c r="C394" s="283" t="s">
        <v>36</v>
      </c>
      <c r="D394" s="324"/>
      <c r="E394" s="25">
        <f>IF(E392&gt;=D393,4,4/D393*E392)</f>
        <v>6.6666666666666655E-8</v>
      </c>
      <c r="H394" s="29"/>
    </row>
    <row r="395" spans="1:8" ht="15" customHeight="1" x14ac:dyDescent="0.25">
      <c r="C395" s="39"/>
      <c r="D395" s="67"/>
      <c r="H395" s="39"/>
    </row>
    <row r="396" spans="1:8" ht="31.35" customHeight="1" x14ac:dyDescent="0.25">
      <c r="A396" s="274">
        <v>33</v>
      </c>
      <c r="B396" s="341"/>
      <c r="C396" s="323" t="s">
        <v>293</v>
      </c>
      <c r="D396" s="323"/>
      <c r="E396" s="46"/>
      <c r="H396" s="265" t="s">
        <v>716</v>
      </c>
    </row>
    <row r="397" spans="1:8" ht="31.5" customHeight="1" x14ac:dyDescent="0.25">
      <c r="A397" s="275"/>
      <c r="B397" s="342"/>
      <c r="C397" s="299" t="s">
        <v>294</v>
      </c>
      <c r="D397" s="300"/>
      <c r="E397" s="257">
        <v>390</v>
      </c>
      <c r="F397" s="8" t="s">
        <v>96</v>
      </c>
      <c r="G397" s="37"/>
      <c r="H397" s="29"/>
    </row>
    <row r="398" spans="1:8" ht="48" customHeight="1" x14ac:dyDescent="0.25">
      <c r="A398" s="275"/>
      <c r="B398" s="342"/>
      <c r="C398" s="299" t="s">
        <v>99</v>
      </c>
      <c r="D398" s="300"/>
      <c r="E398" s="258">
        <v>12</v>
      </c>
      <c r="F398" s="8" t="s">
        <v>96</v>
      </c>
      <c r="G398" s="37"/>
      <c r="H398" s="29"/>
    </row>
    <row r="399" spans="1:8" ht="36" customHeight="1" x14ac:dyDescent="0.25">
      <c r="A399" s="275"/>
      <c r="B399" s="342"/>
      <c r="C399" s="299" t="s">
        <v>295</v>
      </c>
      <c r="D399" s="300"/>
      <c r="E399" s="256">
        <f>IF(E398&gt;0,E397/3/E398,0)*3/Menu!N15</f>
        <v>10.833333333333334</v>
      </c>
      <c r="G399" s="43"/>
      <c r="H399" s="29"/>
    </row>
    <row r="400" spans="1:8" ht="14.45" hidden="1" customHeight="1" x14ac:dyDescent="0.25">
      <c r="A400" s="275"/>
      <c r="B400" s="342"/>
      <c r="C400" s="119" t="s">
        <v>154</v>
      </c>
      <c r="D400" s="120">
        <v>10000000</v>
      </c>
      <c r="E400" s="153"/>
      <c r="G400" s="43"/>
      <c r="H400" s="29"/>
    </row>
    <row r="401" spans="1:8" ht="15" customHeight="1" x14ac:dyDescent="0.25">
      <c r="A401" s="276"/>
      <c r="B401" s="334"/>
      <c r="C401" s="283" t="s">
        <v>36</v>
      </c>
      <c r="D401" s="324"/>
      <c r="E401" s="25">
        <f>IF(E399&gt;=D400,4,4/D400*E399)</f>
        <v>4.3333333333333331E-6</v>
      </c>
      <c r="H401" s="29"/>
    </row>
    <row r="402" spans="1:8" ht="15" customHeight="1" x14ac:dyDescent="0.25">
      <c r="C402" s="39"/>
      <c r="D402" s="67"/>
      <c r="H402" s="39"/>
    </row>
    <row r="403" spans="1:8" ht="42.75" customHeight="1" x14ac:dyDescent="0.25">
      <c r="A403" s="274">
        <v>34</v>
      </c>
      <c r="B403" s="341"/>
      <c r="C403" s="323" t="s">
        <v>296</v>
      </c>
      <c r="D403" s="323"/>
      <c r="E403" s="46"/>
      <c r="H403" s="265" t="s">
        <v>717</v>
      </c>
    </row>
    <row r="404" spans="1:8" ht="31.5" customHeight="1" x14ac:dyDescent="0.25">
      <c r="A404" s="275"/>
      <c r="B404" s="342"/>
      <c r="C404" s="299" t="s">
        <v>297</v>
      </c>
      <c r="D404" s="300"/>
      <c r="E404" s="257">
        <v>195</v>
      </c>
      <c r="F404" s="8" t="s">
        <v>96</v>
      </c>
      <c r="G404" s="37"/>
      <c r="H404" s="29"/>
    </row>
    <row r="405" spans="1:8" ht="50.1" customHeight="1" x14ac:dyDescent="0.25">
      <c r="A405" s="275"/>
      <c r="B405" s="342"/>
      <c r="C405" s="299" t="s">
        <v>99</v>
      </c>
      <c r="D405" s="300"/>
      <c r="E405" s="258">
        <v>12</v>
      </c>
      <c r="F405" s="8" t="s">
        <v>96</v>
      </c>
      <c r="G405" s="37"/>
      <c r="H405" s="29"/>
    </row>
    <row r="406" spans="1:8" ht="33" customHeight="1" x14ac:dyDescent="0.25">
      <c r="A406" s="275"/>
      <c r="B406" s="342"/>
      <c r="C406" s="299" t="s">
        <v>298</v>
      </c>
      <c r="D406" s="300"/>
      <c r="E406" s="256">
        <f>IF(E405&gt;0,E404/3/E405,0)*3/Menu!N15</f>
        <v>5.416666666666667</v>
      </c>
      <c r="G406" s="43"/>
      <c r="H406" s="29"/>
    </row>
    <row r="407" spans="1:8" ht="14.45" hidden="1" customHeight="1" x14ac:dyDescent="0.25">
      <c r="A407" s="275"/>
      <c r="B407" s="342"/>
      <c r="C407" s="119" t="s">
        <v>154</v>
      </c>
      <c r="D407" s="120">
        <v>5000000</v>
      </c>
      <c r="E407" s="153"/>
      <c r="G407" s="43"/>
      <c r="H407" s="29"/>
    </row>
    <row r="408" spans="1:8" ht="15" customHeight="1" x14ac:dyDescent="0.25">
      <c r="A408" s="276"/>
      <c r="B408" s="334"/>
      <c r="C408" s="283" t="s">
        <v>36</v>
      </c>
      <c r="D408" s="324"/>
      <c r="E408" s="25">
        <f>IF(E406&gt;=D407,4,4/D407*E406)</f>
        <v>4.3333333333333331E-6</v>
      </c>
      <c r="H408" s="29"/>
    </row>
    <row r="409" spans="1:8" ht="15" customHeight="1" x14ac:dyDescent="0.25">
      <c r="C409" s="39"/>
      <c r="D409" s="67"/>
      <c r="H409" s="39"/>
    </row>
    <row r="410" spans="1:8" ht="68.099999999999994" customHeight="1" x14ac:dyDescent="0.25">
      <c r="A410" s="274">
        <v>35</v>
      </c>
      <c r="B410" s="322"/>
      <c r="C410" s="320" t="s">
        <v>299</v>
      </c>
      <c r="D410" s="321"/>
      <c r="E410" s="21">
        <v>2</v>
      </c>
      <c r="F410" s="8" t="str">
        <f>IF(OR(ISBLANK(E410),E410&gt;4),"Salah isi","judge")</f>
        <v>judge</v>
      </c>
      <c r="H410" s="265" t="s">
        <v>748</v>
      </c>
    </row>
    <row r="411" spans="1:8" x14ac:dyDescent="0.25">
      <c r="A411" s="275"/>
      <c r="B411" s="293"/>
      <c r="C411" s="299" t="s">
        <v>300</v>
      </c>
      <c r="D411" s="300"/>
      <c r="E411" s="97">
        <f>AVERAGE(E195,E202,E209,E218,E239,E247,E257,E265,E272)</f>
        <v>3.0481632653061226</v>
      </c>
      <c r="H411" s="29"/>
    </row>
    <row r="412" spans="1:8" ht="58.35" customHeight="1" x14ac:dyDescent="0.25">
      <c r="A412" s="275"/>
      <c r="B412" s="293"/>
      <c r="C412" s="22">
        <v>4</v>
      </c>
      <c r="D412" s="60" t="s">
        <v>301</v>
      </c>
      <c r="E412" s="23"/>
      <c r="H412" s="29"/>
    </row>
    <row r="413" spans="1:8" ht="43.7" customHeight="1" x14ac:dyDescent="0.25">
      <c r="A413" s="275"/>
      <c r="B413" s="293"/>
      <c r="C413" s="22">
        <v>3</v>
      </c>
      <c r="D413" s="60" t="s">
        <v>302</v>
      </c>
      <c r="E413" s="23"/>
      <c r="H413" s="29"/>
    </row>
    <row r="414" spans="1:8" ht="58.35" customHeight="1" x14ac:dyDescent="0.25">
      <c r="A414" s="275"/>
      <c r="B414" s="293"/>
      <c r="C414" s="22">
        <v>2</v>
      </c>
      <c r="D414" s="60" t="s">
        <v>303</v>
      </c>
      <c r="E414" s="23"/>
      <c r="H414" s="29"/>
    </row>
    <row r="415" spans="1:8" ht="29.1" customHeight="1" x14ac:dyDescent="0.25">
      <c r="A415" s="275"/>
      <c r="B415" s="293"/>
      <c r="C415" s="22">
        <v>1</v>
      </c>
      <c r="D415" s="60" t="s">
        <v>304</v>
      </c>
      <c r="E415" s="23"/>
      <c r="H415" s="29"/>
    </row>
    <row r="416" spans="1:8" ht="29.1" customHeight="1" x14ac:dyDescent="0.25">
      <c r="A416" s="275"/>
      <c r="B416" s="293"/>
      <c r="C416" s="22">
        <v>0</v>
      </c>
      <c r="D416" s="60" t="s">
        <v>305</v>
      </c>
      <c r="E416" s="24"/>
      <c r="H416" s="29"/>
    </row>
    <row r="417" spans="1:8" ht="15" customHeight="1" x14ac:dyDescent="0.25">
      <c r="A417" s="276"/>
      <c r="B417" s="294"/>
      <c r="C417" s="289" t="s">
        <v>36</v>
      </c>
      <c r="D417" s="290"/>
      <c r="E417" s="25">
        <f>IF(F410="Salah isi",0,IF(E411&gt;=3.5,4,E410))</f>
        <v>2</v>
      </c>
      <c r="H417" s="29"/>
    </row>
    <row r="418" spans="1:8" ht="15" customHeight="1" x14ac:dyDescent="0.25">
      <c r="A418" s="26"/>
      <c r="B418" s="26"/>
      <c r="C418" s="27"/>
      <c r="D418" s="62"/>
      <c r="E418" s="28"/>
      <c r="H418" s="29"/>
    </row>
    <row r="419" spans="1:8" ht="32.1" customHeight="1" x14ac:dyDescent="0.25">
      <c r="A419" s="274">
        <v>36</v>
      </c>
      <c r="B419" s="322"/>
      <c r="C419" s="320" t="s">
        <v>306</v>
      </c>
      <c r="D419" s="321"/>
      <c r="E419" s="21">
        <v>2</v>
      </c>
      <c r="F419" s="8" t="str">
        <f>IF(OR(ISBLANK(E419),E419&gt;4),"Salah isi","judge")</f>
        <v>judge</v>
      </c>
      <c r="H419" s="265" t="s">
        <v>763</v>
      </c>
    </row>
    <row r="420" spans="1:8" ht="58.35" customHeight="1" x14ac:dyDescent="0.25">
      <c r="A420" s="275"/>
      <c r="B420" s="293"/>
      <c r="C420" s="22">
        <v>4</v>
      </c>
      <c r="D420" s="60" t="s">
        <v>307</v>
      </c>
      <c r="E420" s="23"/>
      <c r="H420" s="29"/>
    </row>
    <row r="421" spans="1:8" ht="29.1" customHeight="1" x14ac:dyDescent="0.25">
      <c r="A421" s="275"/>
      <c r="B421" s="293"/>
      <c r="C421" s="22">
        <v>3</v>
      </c>
      <c r="D421" s="60" t="s">
        <v>308</v>
      </c>
      <c r="E421" s="23"/>
      <c r="H421" s="29"/>
    </row>
    <row r="422" spans="1:8" ht="29.1" customHeight="1" x14ac:dyDescent="0.25">
      <c r="A422" s="275"/>
      <c r="B422" s="293"/>
      <c r="C422" s="22">
        <v>2</v>
      </c>
      <c r="D422" s="60" t="s">
        <v>309</v>
      </c>
      <c r="E422" s="23"/>
      <c r="H422" s="29"/>
    </row>
    <row r="423" spans="1:8" ht="29.1" customHeight="1" x14ac:dyDescent="0.25">
      <c r="A423" s="275"/>
      <c r="B423" s="293"/>
      <c r="C423" s="22">
        <v>1</v>
      </c>
      <c r="D423" s="60" t="s">
        <v>310</v>
      </c>
      <c r="E423" s="23"/>
      <c r="H423" s="29"/>
    </row>
    <row r="424" spans="1:8" x14ac:dyDescent="0.25">
      <c r="A424" s="275"/>
      <c r="B424" s="293"/>
      <c r="C424" s="22">
        <v>0</v>
      </c>
      <c r="D424" s="60" t="s">
        <v>311</v>
      </c>
      <c r="E424" s="24"/>
      <c r="H424" s="29"/>
    </row>
    <row r="425" spans="1:8" ht="15" customHeight="1" x14ac:dyDescent="0.25">
      <c r="A425" s="276"/>
      <c r="B425" s="294"/>
      <c r="C425" s="289" t="s">
        <v>36</v>
      </c>
      <c r="D425" s="290"/>
      <c r="E425" s="25">
        <f>IF(F419="Salah isi",0,E419)</f>
        <v>2</v>
      </c>
      <c r="H425" s="29"/>
    </row>
    <row r="426" spans="1:8" ht="15" customHeight="1" x14ac:dyDescent="0.25">
      <c r="A426" s="26"/>
      <c r="B426" s="26"/>
      <c r="C426" s="27"/>
      <c r="D426" s="62"/>
      <c r="E426" s="28"/>
      <c r="H426" s="29"/>
    </row>
    <row r="427" spans="1:8" ht="41.45" customHeight="1" x14ac:dyDescent="0.25">
      <c r="A427" s="274">
        <v>37</v>
      </c>
      <c r="B427" s="322" t="s">
        <v>312</v>
      </c>
      <c r="C427" s="320" t="s">
        <v>313</v>
      </c>
      <c r="D427" s="321"/>
      <c r="E427" s="21">
        <v>2</v>
      </c>
      <c r="F427" s="8" t="str">
        <f>IF(OR(ISBLANK(E427),E427&gt;4),"Salah isi","judge")</f>
        <v>judge</v>
      </c>
      <c r="H427" s="265" t="s">
        <v>749</v>
      </c>
    </row>
    <row r="428" spans="1:8" ht="43.7" customHeight="1" x14ac:dyDescent="0.25">
      <c r="A428" s="275"/>
      <c r="B428" s="293"/>
      <c r="C428" s="22">
        <v>4</v>
      </c>
      <c r="D428" s="60" t="s">
        <v>314</v>
      </c>
      <c r="E428" s="23"/>
      <c r="H428" s="29"/>
    </row>
    <row r="429" spans="1:8" ht="43.7" customHeight="1" x14ac:dyDescent="0.25">
      <c r="A429" s="275"/>
      <c r="B429" s="293"/>
      <c r="C429" s="22">
        <v>3</v>
      </c>
      <c r="D429" s="60" t="s">
        <v>315</v>
      </c>
      <c r="E429" s="23"/>
      <c r="H429" s="29"/>
    </row>
    <row r="430" spans="1:8" ht="43.7" customHeight="1" x14ac:dyDescent="0.25">
      <c r="A430" s="275"/>
      <c r="B430" s="293"/>
      <c r="C430" s="22">
        <v>2</v>
      </c>
      <c r="D430" s="60" t="s">
        <v>316</v>
      </c>
      <c r="E430" s="23"/>
      <c r="H430" s="29"/>
    </row>
    <row r="431" spans="1:8" ht="29.1" customHeight="1" x14ac:dyDescent="0.25">
      <c r="A431" s="275"/>
      <c r="B431" s="293"/>
      <c r="C431" s="22">
        <v>1</v>
      </c>
      <c r="D431" s="60" t="s">
        <v>317</v>
      </c>
      <c r="E431" s="23"/>
      <c r="H431" s="29"/>
    </row>
    <row r="432" spans="1:8" x14ac:dyDescent="0.25">
      <c r="A432" s="275"/>
      <c r="B432" s="293"/>
      <c r="C432" s="22">
        <v>0</v>
      </c>
      <c r="D432" s="60" t="s">
        <v>318</v>
      </c>
      <c r="E432" s="24"/>
      <c r="H432" s="29"/>
    </row>
    <row r="433" spans="1:8" ht="15" customHeight="1" x14ac:dyDescent="0.25">
      <c r="A433" s="276"/>
      <c r="B433" s="294"/>
      <c r="C433" s="289" t="s">
        <v>36</v>
      </c>
      <c r="D433" s="290"/>
      <c r="E433" s="25">
        <f>IF(F427="Salah isi",0,E427)</f>
        <v>2</v>
      </c>
      <c r="H433" s="29"/>
    </row>
    <row r="434" spans="1:8" ht="15" customHeight="1" x14ac:dyDescent="0.25">
      <c r="A434" s="26"/>
      <c r="B434" s="26"/>
      <c r="C434" s="27"/>
      <c r="D434" s="62"/>
      <c r="E434" s="28"/>
      <c r="H434" s="29"/>
    </row>
    <row r="435" spans="1:8" ht="40.35" customHeight="1" x14ac:dyDescent="0.25">
      <c r="A435" s="274">
        <v>38</v>
      </c>
      <c r="B435" s="322" t="s">
        <v>319</v>
      </c>
      <c r="C435" s="320" t="s">
        <v>320</v>
      </c>
      <c r="D435" s="327"/>
      <c r="E435" s="21">
        <v>2</v>
      </c>
      <c r="F435" s="8" t="str">
        <f>IF(OR(ISBLANK(E435),E435&gt;4),"Salah isi","judge")</f>
        <v>judge</v>
      </c>
      <c r="H435" s="265" t="s">
        <v>750</v>
      </c>
    </row>
    <row r="436" spans="1:8" ht="72.95" customHeight="1" x14ac:dyDescent="0.25">
      <c r="A436" s="275"/>
      <c r="B436" s="293"/>
      <c r="C436" s="30">
        <v>4</v>
      </c>
      <c r="D436" s="63" t="s">
        <v>321</v>
      </c>
      <c r="E436" s="31"/>
      <c r="H436" s="29"/>
    </row>
    <row r="437" spans="1:8" ht="43.7" customHeight="1" x14ac:dyDescent="0.25">
      <c r="A437" s="275"/>
      <c r="B437" s="293"/>
      <c r="C437" s="30">
        <v>3</v>
      </c>
      <c r="D437" s="63" t="s">
        <v>322</v>
      </c>
      <c r="E437" s="31"/>
      <c r="H437" s="29"/>
    </row>
    <row r="438" spans="1:8" ht="29.1" customHeight="1" x14ac:dyDescent="0.25">
      <c r="A438" s="275"/>
      <c r="B438" s="293"/>
      <c r="C438" s="30">
        <v>2</v>
      </c>
      <c r="D438" s="63" t="s">
        <v>323</v>
      </c>
      <c r="E438" s="31"/>
      <c r="H438" s="29"/>
    </row>
    <row r="439" spans="1:8" ht="29.1" customHeight="1" x14ac:dyDescent="0.25">
      <c r="A439" s="275"/>
      <c r="B439" s="293"/>
      <c r="C439" s="30">
        <v>1</v>
      </c>
      <c r="D439" s="63" t="s">
        <v>324</v>
      </c>
      <c r="E439" s="31"/>
      <c r="H439" s="29"/>
    </row>
    <row r="440" spans="1:8" ht="29.1" customHeight="1" x14ac:dyDescent="0.25">
      <c r="A440" s="275"/>
      <c r="B440" s="293"/>
      <c r="C440" s="30">
        <v>0</v>
      </c>
      <c r="D440" s="63" t="s">
        <v>325</v>
      </c>
      <c r="E440" s="32"/>
      <c r="H440" s="29"/>
    </row>
    <row r="441" spans="1:8" ht="42" customHeight="1" x14ac:dyDescent="0.25">
      <c r="A441" s="275"/>
      <c r="B441" s="293"/>
      <c r="C441" s="347" t="s">
        <v>326</v>
      </c>
      <c r="D441" s="325"/>
      <c r="E441" s="33">
        <v>0</v>
      </c>
      <c r="F441" s="8" t="str">
        <f>IF(OR(ISBLANK(E441),E441&gt;4),"Salah isi","judge")</f>
        <v>judge</v>
      </c>
      <c r="H441" s="29"/>
    </row>
    <row r="442" spans="1:8" ht="72.95" customHeight="1" x14ac:dyDescent="0.25">
      <c r="A442" s="275"/>
      <c r="B442" s="293"/>
      <c r="C442" s="30">
        <v>4</v>
      </c>
      <c r="D442" s="65" t="s">
        <v>327</v>
      </c>
      <c r="E442" s="31"/>
      <c r="F442" s="56"/>
      <c r="H442" s="29"/>
    </row>
    <row r="443" spans="1:8" ht="43.7" customHeight="1" x14ac:dyDescent="0.25">
      <c r="A443" s="275"/>
      <c r="B443" s="293"/>
      <c r="C443" s="30">
        <v>3</v>
      </c>
      <c r="D443" s="65" t="s">
        <v>328</v>
      </c>
      <c r="E443" s="31"/>
      <c r="F443" s="56"/>
      <c r="H443" s="29"/>
    </row>
    <row r="444" spans="1:8" ht="29.1" customHeight="1" x14ac:dyDescent="0.25">
      <c r="A444" s="275"/>
      <c r="B444" s="293"/>
      <c r="C444" s="30">
        <v>2</v>
      </c>
      <c r="D444" s="65" t="s">
        <v>329</v>
      </c>
      <c r="E444" s="31"/>
      <c r="F444" s="56"/>
      <c r="H444" s="29"/>
    </row>
    <row r="445" spans="1:8" ht="29.1" customHeight="1" x14ac:dyDescent="0.25">
      <c r="A445" s="275"/>
      <c r="B445" s="293"/>
      <c r="C445" s="30">
        <v>1</v>
      </c>
      <c r="D445" s="65" t="s">
        <v>330</v>
      </c>
      <c r="E445" s="31"/>
      <c r="F445" s="56"/>
      <c r="H445" s="29"/>
    </row>
    <row r="446" spans="1:8" ht="29.1" customHeight="1" x14ac:dyDescent="0.25">
      <c r="A446" s="275"/>
      <c r="B446" s="293"/>
      <c r="C446" s="30">
        <v>0</v>
      </c>
      <c r="D446" s="65" t="s">
        <v>331</v>
      </c>
      <c r="E446" s="32"/>
      <c r="F446" s="56"/>
      <c r="H446" s="29"/>
    </row>
    <row r="447" spans="1:8" ht="34.35" customHeight="1" x14ac:dyDescent="0.25">
      <c r="A447" s="275"/>
      <c r="B447" s="293"/>
      <c r="C447" s="299" t="s">
        <v>332</v>
      </c>
      <c r="D447" s="325"/>
      <c r="E447" s="33">
        <v>1</v>
      </c>
      <c r="F447" s="8" t="str">
        <f>IF(OR(E447&lt;1,E447&gt;4),"Salah isi","judge")</f>
        <v>judge</v>
      </c>
      <c r="H447" s="29"/>
    </row>
    <row r="448" spans="1:8" ht="87.4" customHeight="1" x14ac:dyDescent="0.25">
      <c r="A448" s="275"/>
      <c r="B448" s="293"/>
      <c r="C448" s="30">
        <v>4</v>
      </c>
      <c r="D448" s="65" t="s">
        <v>333</v>
      </c>
      <c r="E448" s="31"/>
      <c r="F448" s="56"/>
      <c r="H448" s="29"/>
    </row>
    <row r="449" spans="1:8" ht="58.35" customHeight="1" x14ac:dyDescent="0.25">
      <c r="A449" s="275"/>
      <c r="B449" s="293"/>
      <c r="C449" s="30">
        <v>3</v>
      </c>
      <c r="D449" s="65" t="s">
        <v>334</v>
      </c>
      <c r="E449" s="31"/>
      <c r="F449" s="56"/>
      <c r="H449" s="29"/>
    </row>
    <row r="450" spans="1:8" ht="43.7" customHeight="1" x14ac:dyDescent="0.25">
      <c r="A450" s="275"/>
      <c r="B450" s="293"/>
      <c r="C450" s="30">
        <v>2</v>
      </c>
      <c r="D450" s="65" t="s">
        <v>335</v>
      </c>
      <c r="E450" s="31"/>
      <c r="F450" s="56"/>
      <c r="H450" s="29"/>
    </row>
    <row r="451" spans="1:8" ht="29.1" customHeight="1" x14ac:dyDescent="0.25">
      <c r="A451" s="275"/>
      <c r="B451" s="293"/>
      <c r="C451" s="30">
        <v>1</v>
      </c>
      <c r="D451" s="65" t="s">
        <v>336</v>
      </c>
      <c r="E451" s="31"/>
      <c r="H451" s="29"/>
    </row>
    <row r="452" spans="1:8" x14ac:dyDescent="0.25">
      <c r="A452" s="275"/>
      <c r="B452" s="293"/>
      <c r="C452" s="30">
        <v>0</v>
      </c>
      <c r="D452" s="65" t="s">
        <v>75</v>
      </c>
      <c r="E452" s="32"/>
      <c r="H452" s="29"/>
    </row>
    <row r="453" spans="1:8" ht="15" customHeight="1" x14ac:dyDescent="0.25">
      <c r="A453" s="276"/>
      <c r="B453" s="294"/>
      <c r="C453" s="289" t="s">
        <v>337</v>
      </c>
      <c r="D453" s="326"/>
      <c r="E453" s="25">
        <f>IF(OR(F435="Salah isi",F441="Salah isi",F447="Salah isi"),0,(E435+2*E441+2*E447)/5)</f>
        <v>0.8</v>
      </c>
      <c r="H453" s="29"/>
    </row>
    <row r="454" spans="1:8" ht="15" customHeight="1" x14ac:dyDescent="0.25">
      <c r="A454" s="26"/>
      <c r="B454" s="26"/>
      <c r="C454" s="27"/>
      <c r="D454" s="62"/>
      <c r="E454" s="28"/>
      <c r="H454" s="29"/>
    </row>
    <row r="455" spans="1:8" ht="53.45" customHeight="1" x14ac:dyDescent="0.25">
      <c r="A455" s="274">
        <v>39</v>
      </c>
      <c r="B455" s="322" t="s">
        <v>338</v>
      </c>
      <c r="C455" s="320" t="s">
        <v>339</v>
      </c>
      <c r="D455" s="321"/>
      <c r="E455" s="21">
        <v>1</v>
      </c>
      <c r="F455" s="8" t="str">
        <f>IF(OR(E455&lt;1,E455&gt;4),"Salah isi","judge")</f>
        <v>judge</v>
      </c>
      <c r="H455" s="265" t="s">
        <v>751</v>
      </c>
    </row>
    <row r="456" spans="1:8" ht="43.7" customHeight="1" x14ac:dyDescent="0.25">
      <c r="A456" s="275"/>
      <c r="B456" s="293"/>
      <c r="C456" s="22">
        <v>4</v>
      </c>
      <c r="D456" s="60" t="s">
        <v>340</v>
      </c>
      <c r="E456" s="23"/>
      <c r="H456" s="29"/>
    </row>
    <row r="457" spans="1:8" ht="43.7" customHeight="1" x14ac:dyDescent="0.25">
      <c r="A457" s="275"/>
      <c r="B457" s="293"/>
      <c r="C457" s="22">
        <v>3</v>
      </c>
      <c r="D457" s="60" t="s">
        <v>341</v>
      </c>
      <c r="E457" s="23"/>
      <c r="H457" s="29"/>
    </row>
    <row r="458" spans="1:8" ht="29.1" customHeight="1" x14ac:dyDescent="0.25">
      <c r="A458" s="275"/>
      <c r="B458" s="293"/>
      <c r="C458" s="22">
        <v>2</v>
      </c>
      <c r="D458" s="60" t="s">
        <v>342</v>
      </c>
      <c r="E458" s="23"/>
      <c r="H458" s="29"/>
    </row>
    <row r="459" spans="1:8" ht="29.1" customHeight="1" x14ac:dyDescent="0.25">
      <c r="A459" s="275"/>
      <c r="B459" s="293"/>
      <c r="C459" s="22">
        <v>1</v>
      </c>
      <c r="D459" s="60" t="s">
        <v>343</v>
      </c>
      <c r="E459" s="23"/>
      <c r="H459" s="29"/>
    </row>
    <row r="460" spans="1:8" x14ac:dyDescent="0.25">
      <c r="A460" s="275"/>
      <c r="B460" s="293"/>
      <c r="C460" s="22">
        <v>0</v>
      </c>
      <c r="D460" s="60" t="s">
        <v>75</v>
      </c>
      <c r="E460" s="24"/>
      <c r="H460" s="29"/>
    </row>
    <row r="461" spans="1:8" ht="15" customHeight="1" x14ac:dyDescent="0.25">
      <c r="A461" s="276"/>
      <c r="B461" s="294"/>
      <c r="C461" s="289" t="s">
        <v>36</v>
      </c>
      <c r="D461" s="290"/>
      <c r="E461" s="25">
        <f>IF(F455="Salah isi",0,E455)</f>
        <v>1</v>
      </c>
      <c r="H461" s="29"/>
    </row>
    <row r="462" spans="1:8" ht="15" customHeight="1" x14ac:dyDescent="0.25">
      <c r="A462" s="26"/>
      <c r="B462" s="26"/>
      <c r="C462" s="27"/>
      <c r="D462" s="62"/>
      <c r="E462" s="28"/>
      <c r="H462" s="29"/>
    </row>
    <row r="463" spans="1:8" ht="40.35" customHeight="1" x14ac:dyDescent="0.25">
      <c r="A463" s="274">
        <v>40</v>
      </c>
      <c r="B463" s="322" t="s">
        <v>344</v>
      </c>
      <c r="C463" s="320" t="s">
        <v>345</v>
      </c>
      <c r="D463" s="327"/>
      <c r="E463" s="21">
        <v>0</v>
      </c>
      <c r="F463" s="8" t="str">
        <f>IF(OR(ISBLANK(E463),E463&gt;4),"Salah isi","judge")</f>
        <v>judge</v>
      </c>
      <c r="H463" s="265" t="s">
        <v>718</v>
      </c>
    </row>
    <row r="464" spans="1:8" ht="58.35" customHeight="1" x14ac:dyDescent="0.25">
      <c r="A464" s="275"/>
      <c r="B464" s="293"/>
      <c r="C464" s="30">
        <v>4</v>
      </c>
      <c r="D464" s="63" t="s">
        <v>346</v>
      </c>
      <c r="E464" s="31"/>
      <c r="H464" s="29"/>
    </row>
    <row r="465" spans="1:8" ht="58.35" customHeight="1" x14ac:dyDescent="0.25">
      <c r="A465" s="275"/>
      <c r="B465" s="293"/>
      <c r="C465" s="30">
        <v>3</v>
      </c>
      <c r="D465" s="63" t="s">
        <v>347</v>
      </c>
      <c r="E465" s="31"/>
      <c r="H465" s="29"/>
    </row>
    <row r="466" spans="1:8" ht="43.7" customHeight="1" x14ac:dyDescent="0.25">
      <c r="A466" s="275"/>
      <c r="B466" s="293"/>
      <c r="C466" s="30">
        <v>2</v>
      </c>
      <c r="D466" s="63" t="s">
        <v>348</v>
      </c>
      <c r="E466" s="31"/>
      <c r="H466" s="29"/>
    </row>
    <row r="467" spans="1:8" ht="43.7" customHeight="1" x14ac:dyDescent="0.25">
      <c r="A467" s="275"/>
      <c r="B467" s="293"/>
      <c r="C467" s="30">
        <v>1</v>
      </c>
      <c r="D467" s="63" t="s">
        <v>349</v>
      </c>
      <c r="E467" s="31"/>
      <c r="H467" s="29"/>
    </row>
    <row r="468" spans="1:8" x14ac:dyDescent="0.25">
      <c r="A468" s="275"/>
      <c r="B468" s="293"/>
      <c r="C468" s="30">
        <v>0</v>
      </c>
      <c r="D468" s="63" t="s">
        <v>350</v>
      </c>
      <c r="E468" s="32"/>
      <c r="H468" s="29"/>
    </row>
    <row r="469" spans="1:8" ht="34.35" customHeight="1" x14ac:dyDescent="0.25">
      <c r="A469" s="275"/>
      <c r="B469" s="293"/>
      <c r="C469" s="299" t="s">
        <v>351</v>
      </c>
      <c r="D469" s="325"/>
      <c r="E469" s="33">
        <v>0</v>
      </c>
      <c r="F469" s="8" t="str">
        <f>IF(OR(ISBLANK(E469),E469&gt;4),"Salah isi","judge")</f>
        <v>judge</v>
      </c>
      <c r="H469" s="29"/>
    </row>
    <row r="470" spans="1:8" ht="43.7" customHeight="1" x14ac:dyDescent="0.25">
      <c r="A470" s="275"/>
      <c r="B470" s="293"/>
      <c r="C470" s="30">
        <v>4</v>
      </c>
      <c r="D470" s="65" t="s">
        <v>352</v>
      </c>
      <c r="E470" s="31"/>
      <c r="F470" s="56"/>
      <c r="H470" s="29"/>
    </row>
    <row r="471" spans="1:8" ht="43.7" customHeight="1" x14ac:dyDescent="0.25">
      <c r="A471" s="275"/>
      <c r="B471" s="293"/>
      <c r="C471" s="30">
        <v>3</v>
      </c>
      <c r="D471" s="65" t="s">
        <v>353</v>
      </c>
      <c r="E471" s="31"/>
      <c r="F471" s="56"/>
      <c r="H471" s="29"/>
    </row>
    <row r="472" spans="1:8" ht="29.1" customHeight="1" x14ac:dyDescent="0.25">
      <c r="A472" s="275"/>
      <c r="B472" s="293"/>
      <c r="C472" s="30">
        <v>2</v>
      </c>
      <c r="D472" s="65" t="s">
        <v>354</v>
      </c>
      <c r="E472" s="31"/>
      <c r="F472" s="56"/>
      <c r="H472" s="29"/>
    </row>
    <row r="473" spans="1:8" ht="29.1" customHeight="1" x14ac:dyDescent="0.25">
      <c r="A473" s="275"/>
      <c r="B473" s="293"/>
      <c r="C473" s="30">
        <v>1</v>
      </c>
      <c r="D473" s="65" t="s">
        <v>355</v>
      </c>
      <c r="E473" s="31"/>
      <c r="H473" s="29"/>
    </row>
    <row r="474" spans="1:8" ht="30" customHeight="1" x14ac:dyDescent="0.25">
      <c r="A474" s="275"/>
      <c r="B474" s="293"/>
      <c r="C474" s="30">
        <v>0</v>
      </c>
      <c r="D474" s="65" t="s">
        <v>356</v>
      </c>
      <c r="E474" s="32"/>
      <c r="H474" s="29"/>
    </row>
    <row r="475" spans="1:8" ht="15" customHeight="1" x14ac:dyDescent="0.25">
      <c r="A475" s="276"/>
      <c r="B475" s="294"/>
      <c r="C475" s="289" t="s">
        <v>76</v>
      </c>
      <c r="D475" s="326"/>
      <c r="E475" s="25">
        <f>IF(OR(F463="Salah isi",F469="Salah isi"),0,(E463+2*E469)/3)</f>
        <v>0</v>
      </c>
      <c r="H475" s="29"/>
    </row>
    <row r="476" spans="1:8" ht="15" customHeight="1" x14ac:dyDescent="0.25">
      <c r="A476" s="26"/>
      <c r="B476" s="26"/>
      <c r="C476" s="27"/>
      <c r="D476" s="62"/>
      <c r="E476" s="28"/>
      <c r="H476" s="29"/>
    </row>
    <row r="477" spans="1:8" ht="40.35" customHeight="1" x14ac:dyDescent="0.25">
      <c r="A477" s="274">
        <v>41</v>
      </c>
      <c r="B477" s="322" t="s">
        <v>357</v>
      </c>
      <c r="C477" s="320" t="s">
        <v>358</v>
      </c>
      <c r="D477" s="327"/>
      <c r="E477" s="21">
        <v>0</v>
      </c>
      <c r="F477" s="8" t="str">
        <f>IF(OR(ISBLANK(E477),E477&gt;4),"Salah isi","judge")</f>
        <v>judge</v>
      </c>
      <c r="H477" s="265" t="s">
        <v>752</v>
      </c>
    </row>
    <row r="478" spans="1:8" ht="58.35" customHeight="1" x14ac:dyDescent="0.25">
      <c r="A478" s="275"/>
      <c r="B478" s="293"/>
      <c r="C478" s="30">
        <v>4</v>
      </c>
      <c r="D478" s="63" t="s">
        <v>359</v>
      </c>
      <c r="E478" s="31"/>
      <c r="H478" s="29"/>
    </row>
    <row r="479" spans="1:8" ht="43.7" customHeight="1" x14ac:dyDescent="0.25">
      <c r="A479" s="275"/>
      <c r="B479" s="293"/>
      <c r="C479" s="30">
        <v>3</v>
      </c>
      <c r="D479" s="63" t="s">
        <v>360</v>
      </c>
      <c r="E479" s="31"/>
      <c r="H479" s="29"/>
    </row>
    <row r="480" spans="1:8" ht="43.7" customHeight="1" x14ac:dyDescent="0.25">
      <c r="A480" s="275"/>
      <c r="B480" s="293"/>
      <c r="C480" s="30">
        <v>2</v>
      </c>
      <c r="D480" s="63" t="s">
        <v>361</v>
      </c>
      <c r="E480" s="31"/>
      <c r="H480" s="29"/>
    </row>
    <row r="481" spans="1:8" ht="43.7" customHeight="1" x14ac:dyDescent="0.25">
      <c r="A481" s="275"/>
      <c r="B481" s="293"/>
      <c r="C481" s="30">
        <v>1</v>
      </c>
      <c r="D481" s="63" t="s">
        <v>362</v>
      </c>
      <c r="E481" s="31"/>
      <c r="H481" s="29"/>
    </row>
    <row r="482" spans="1:8" ht="29.1" customHeight="1" x14ac:dyDescent="0.25">
      <c r="A482" s="275"/>
      <c r="B482" s="293"/>
      <c r="C482" s="30">
        <v>0</v>
      </c>
      <c r="D482" s="63" t="s">
        <v>363</v>
      </c>
      <c r="E482" s="32"/>
      <c r="H482" s="29"/>
    </row>
    <row r="483" spans="1:8" ht="34.35" customHeight="1" x14ac:dyDescent="0.25">
      <c r="A483" s="275"/>
      <c r="B483" s="293"/>
      <c r="C483" s="299" t="s">
        <v>364</v>
      </c>
      <c r="D483" s="325"/>
      <c r="E483" s="33">
        <v>0</v>
      </c>
      <c r="F483" s="8" t="str">
        <f>IF(OR(ISBLANK(E483),E483&gt;4),"Salah isi","judge")</f>
        <v>judge</v>
      </c>
      <c r="H483" s="29"/>
    </row>
    <row r="484" spans="1:8" ht="72.95" customHeight="1" x14ac:dyDescent="0.25">
      <c r="A484" s="275"/>
      <c r="B484" s="293"/>
      <c r="C484" s="30">
        <v>4</v>
      </c>
      <c r="D484" s="65" t="s">
        <v>365</v>
      </c>
      <c r="E484" s="31"/>
      <c r="F484" s="56"/>
      <c r="H484" s="29"/>
    </row>
    <row r="485" spans="1:8" ht="58.35" customHeight="1" x14ac:dyDescent="0.25">
      <c r="A485" s="275"/>
      <c r="B485" s="293"/>
      <c r="C485" s="30">
        <v>3</v>
      </c>
      <c r="D485" s="65" t="s">
        <v>366</v>
      </c>
      <c r="E485" s="31"/>
      <c r="F485" s="56"/>
      <c r="H485" s="29"/>
    </row>
    <row r="486" spans="1:8" ht="43.7" customHeight="1" x14ac:dyDescent="0.25">
      <c r="A486" s="275"/>
      <c r="B486" s="293"/>
      <c r="C486" s="30">
        <v>2</v>
      </c>
      <c r="D486" s="65" t="s">
        <v>367</v>
      </c>
      <c r="E486" s="31"/>
      <c r="F486" s="56"/>
      <c r="H486" s="29"/>
    </row>
    <row r="487" spans="1:8" ht="29.1" customHeight="1" x14ac:dyDescent="0.25">
      <c r="A487" s="275"/>
      <c r="B487" s="293"/>
      <c r="C487" s="30">
        <v>1</v>
      </c>
      <c r="D487" s="65" t="s">
        <v>368</v>
      </c>
      <c r="E487" s="31"/>
      <c r="H487" s="29"/>
    </row>
    <row r="488" spans="1:8" ht="30" customHeight="1" x14ac:dyDescent="0.25">
      <c r="A488" s="275"/>
      <c r="B488" s="293"/>
      <c r="C488" s="30">
        <v>0</v>
      </c>
      <c r="D488" s="65" t="s">
        <v>369</v>
      </c>
      <c r="E488" s="32"/>
      <c r="H488" s="29"/>
    </row>
    <row r="489" spans="1:8" ht="128.25" customHeight="1" x14ac:dyDescent="0.25">
      <c r="A489" s="275"/>
      <c r="B489" s="293"/>
      <c r="C489" s="331" t="s">
        <v>370</v>
      </c>
      <c r="D489" s="332"/>
      <c r="E489" s="33">
        <v>2</v>
      </c>
      <c r="F489" s="8" t="str">
        <f>IF(OR(E489&lt;2,AND(E489&gt;2,E489&lt;4),E489&gt;4),"Salah isi","judge")</f>
        <v>judge</v>
      </c>
      <c r="H489" s="29"/>
    </row>
    <row r="490" spans="1:8" ht="43.7" customHeight="1" x14ac:dyDescent="0.25">
      <c r="A490" s="275"/>
      <c r="B490" s="293"/>
      <c r="C490" s="199">
        <v>4</v>
      </c>
      <c r="D490" s="200" t="s">
        <v>371</v>
      </c>
      <c r="E490" s="201"/>
      <c r="F490" s="56"/>
      <c r="H490" s="29"/>
    </row>
    <row r="491" spans="1:8" x14ac:dyDescent="0.25">
      <c r="A491" s="275"/>
      <c r="B491" s="293"/>
      <c r="C491" s="199">
        <v>3</v>
      </c>
      <c r="D491" s="65" t="s">
        <v>372</v>
      </c>
      <c r="E491" s="201"/>
      <c r="F491" s="56"/>
      <c r="H491" s="29"/>
    </row>
    <row r="492" spans="1:8" ht="43.7" customHeight="1" x14ac:dyDescent="0.25">
      <c r="A492" s="275"/>
      <c r="B492" s="293"/>
      <c r="C492" s="199">
        <v>2</v>
      </c>
      <c r="D492" s="200" t="s">
        <v>373</v>
      </c>
      <c r="E492" s="201"/>
      <c r="F492" s="56"/>
      <c r="H492" s="29"/>
    </row>
    <row r="493" spans="1:8" x14ac:dyDescent="0.25">
      <c r="A493" s="275"/>
      <c r="B493" s="293"/>
      <c r="C493" s="199">
        <v>1</v>
      </c>
      <c r="D493" s="367" t="s">
        <v>82</v>
      </c>
      <c r="E493" s="372"/>
      <c r="H493" s="29"/>
    </row>
    <row r="494" spans="1:8" x14ac:dyDescent="0.25">
      <c r="A494" s="275"/>
      <c r="B494" s="293"/>
      <c r="C494" s="199">
        <v>0</v>
      </c>
      <c r="D494" s="368"/>
      <c r="E494" s="373"/>
      <c r="H494" s="29"/>
    </row>
    <row r="495" spans="1:8" ht="111.75" customHeight="1" x14ac:dyDescent="0.25">
      <c r="A495" s="275"/>
      <c r="B495" s="293"/>
      <c r="C495" s="299" t="s">
        <v>374</v>
      </c>
      <c r="D495" s="325"/>
      <c r="E495" s="33">
        <v>2</v>
      </c>
      <c r="F495" s="8" t="str">
        <f>IF(OR(E495&lt;2,AND(E495&gt;2,E495&lt;4),E495&gt;4),"Salah isi","judge")</f>
        <v>judge</v>
      </c>
      <c r="H495" s="29"/>
    </row>
    <row r="496" spans="1:8" ht="43.7" customHeight="1" x14ac:dyDescent="0.25">
      <c r="A496" s="275"/>
      <c r="B496" s="293"/>
      <c r="C496" s="30">
        <v>4</v>
      </c>
      <c r="D496" s="65" t="s">
        <v>375</v>
      </c>
      <c r="E496" s="31"/>
      <c r="F496" s="56"/>
      <c r="H496" s="29"/>
    </row>
    <row r="497" spans="1:8" x14ac:dyDescent="0.25">
      <c r="A497" s="275"/>
      <c r="B497" s="293"/>
      <c r="C497" s="30">
        <v>3</v>
      </c>
      <c r="D497" s="65" t="s">
        <v>372</v>
      </c>
      <c r="E497" s="31"/>
      <c r="F497" s="56"/>
      <c r="H497" s="29"/>
    </row>
    <row r="498" spans="1:8" ht="43.7" customHeight="1" x14ac:dyDescent="0.25">
      <c r="A498" s="275"/>
      <c r="B498" s="293"/>
      <c r="C498" s="30">
        <v>2</v>
      </c>
      <c r="D498" s="65" t="s">
        <v>376</v>
      </c>
      <c r="E498" s="31"/>
      <c r="F498" s="56"/>
      <c r="H498" s="29"/>
    </row>
    <row r="499" spans="1:8" x14ac:dyDescent="0.25">
      <c r="A499" s="275"/>
      <c r="B499" s="293"/>
      <c r="C499" s="30">
        <v>1</v>
      </c>
      <c r="D499" s="367" t="s">
        <v>82</v>
      </c>
      <c r="E499" s="354"/>
      <c r="H499" s="29"/>
    </row>
    <row r="500" spans="1:8" x14ac:dyDescent="0.25">
      <c r="A500" s="275"/>
      <c r="B500" s="293"/>
      <c r="C500" s="30">
        <v>0</v>
      </c>
      <c r="D500" s="368"/>
      <c r="E500" s="355"/>
      <c r="H500" s="29"/>
    </row>
    <row r="501" spans="1:8" ht="55.5" customHeight="1" x14ac:dyDescent="0.25">
      <c r="A501" s="275"/>
      <c r="B501" s="293"/>
      <c r="C501" s="299" t="s">
        <v>377</v>
      </c>
      <c r="D501" s="325"/>
      <c r="E501" s="33">
        <v>0</v>
      </c>
      <c r="F501" s="8" t="str">
        <f>IF(OR(ISBLANK(E501),E501&gt;4),"Salah isi","judge")</f>
        <v>judge</v>
      </c>
      <c r="H501" s="29"/>
    </row>
    <row r="502" spans="1:8" ht="45" customHeight="1" x14ac:dyDescent="0.25">
      <c r="A502" s="275"/>
      <c r="B502" s="293"/>
      <c r="C502" s="30">
        <v>4</v>
      </c>
      <c r="D502" s="65" t="s">
        <v>378</v>
      </c>
      <c r="E502" s="31"/>
      <c r="F502" s="56"/>
      <c r="H502" s="29"/>
    </row>
    <row r="503" spans="1:8" ht="45" customHeight="1" x14ac:dyDescent="0.25">
      <c r="A503" s="275"/>
      <c r="B503" s="293"/>
      <c r="C503" s="30">
        <v>3</v>
      </c>
      <c r="D503" s="65" t="s">
        <v>379</v>
      </c>
      <c r="E503" s="31"/>
      <c r="F503" s="56"/>
      <c r="H503" s="29"/>
    </row>
    <row r="504" spans="1:8" ht="45" customHeight="1" x14ac:dyDescent="0.25">
      <c r="A504" s="275"/>
      <c r="B504" s="293"/>
      <c r="C504" s="30">
        <v>2</v>
      </c>
      <c r="D504" s="65" t="s">
        <v>380</v>
      </c>
      <c r="E504" s="31"/>
      <c r="F504" s="56"/>
      <c r="H504" s="29"/>
    </row>
    <row r="505" spans="1:8" ht="43.7" customHeight="1" x14ac:dyDescent="0.25">
      <c r="A505" s="275"/>
      <c r="B505" s="293"/>
      <c r="C505" s="30">
        <v>1</v>
      </c>
      <c r="D505" s="65" t="s">
        <v>381</v>
      </c>
      <c r="E505" s="31"/>
      <c r="H505" s="29"/>
    </row>
    <row r="506" spans="1:8" ht="30" customHeight="1" x14ac:dyDescent="0.25">
      <c r="A506" s="275"/>
      <c r="B506" s="293"/>
      <c r="C506" s="30">
        <v>0</v>
      </c>
      <c r="D506" s="65" t="s">
        <v>382</v>
      </c>
      <c r="E506" s="32"/>
      <c r="H506" s="29"/>
    </row>
    <row r="507" spans="1:8" ht="15" customHeight="1" x14ac:dyDescent="0.25">
      <c r="A507" s="276"/>
      <c r="B507" s="294"/>
      <c r="C507" s="289" t="s">
        <v>383</v>
      </c>
      <c r="D507" s="326"/>
      <c r="E507" s="25">
        <f>IF(OR(F477="Salah isi",F489="Salah isi",F501="Salah isi",F483="Salah Isi",F495="Salah Isi"),0,(E477+2*E483+2*E489+2*E495+2*E501)/9)</f>
        <v>0.88888888888888884</v>
      </c>
      <c r="H507" s="29"/>
    </row>
    <row r="508" spans="1:8" ht="15" customHeight="1" x14ac:dyDescent="0.25">
      <c r="A508" s="26"/>
      <c r="B508" s="26"/>
      <c r="C508" s="27"/>
      <c r="D508" s="62"/>
      <c r="E508" s="28"/>
      <c r="H508" s="29"/>
    </row>
    <row r="509" spans="1:8" ht="53.45" customHeight="1" x14ac:dyDescent="0.25">
      <c r="A509" s="274">
        <v>42</v>
      </c>
      <c r="B509" s="364"/>
      <c r="C509" s="323" t="s">
        <v>384</v>
      </c>
      <c r="D509" s="323"/>
      <c r="E509" s="46"/>
      <c r="H509" s="265" t="s">
        <v>719</v>
      </c>
    </row>
    <row r="510" spans="1:8" ht="33.6" customHeight="1" x14ac:dyDescent="0.25">
      <c r="A510" s="275"/>
      <c r="B510" s="365"/>
      <c r="C510" s="299" t="s">
        <v>385</v>
      </c>
      <c r="D510" s="300"/>
      <c r="E510" s="258">
        <v>2658</v>
      </c>
      <c r="F510" s="8" t="s">
        <v>96</v>
      </c>
      <c r="G510" s="37"/>
      <c r="H510" s="29"/>
    </row>
    <row r="511" spans="1:8" ht="19.350000000000001" customHeight="1" x14ac:dyDescent="0.25">
      <c r="A511" s="275"/>
      <c r="B511" s="365"/>
      <c r="C511" s="299" t="s">
        <v>386</v>
      </c>
      <c r="D511" s="300"/>
      <c r="E511" s="258">
        <v>5973</v>
      </c>
      <c r="F511" s="8" t="s">
        <v>96</v>
      </c>
      <c r="G511" s="37"/>
      <c r="H511" s="29"/>
    </row>
    <row r="512" spans="1:8" ht="15.75" customHeight="1" x14ac:dyDescent="0.25">
      <c r="A512" s="275"/>
      <c r="B512" s="365"/>
      <c r="C512" s="299" t="s">
        <v>387</v>
      </c>
      <c r="D512" s="300"/>
      <c r="E512" s="102">
        <f>IF(E511&gt;0,E510/E511,0)</f>
        <v>0.44500251130085383</v>
      </c>
      <c r="G512" s="43"/>
      <c r="H512" s="29"/>
    </row>
    <row r="513" spans="1:8" ht="14.45" hidden="1" customHeight="1" x14ac:dyDescent="0.25">
      <c r="A513" s="275"/>
      <c r="B513" s="365"/>
      <c r="C513" s="119" t="s">
        <v>154</v>
      </c>
      <c r="D513" s="149">
        <v>0.2</v>
      </c>
      <c r="E513" s="153"/>
      <c r="G513" s="43"/>
      <c r="H513" s="29"/>
    </row>
    <row r="514" spans="1:8" ht="15" customHeight="1" x14ac:dyDescent="0.25">
      <c r="A514" s="276"/>
      <c r="B514" s="366"/>
      <c r="C514" s="283" t="s">
        <v>36</v>
      </c>
      <c r="D514" s="324"/>
      <c r="E514" s="25">
        <f>IF(E512&gt;=D513,4,4/D513*E512)</f>
        <v>4</v>
      </c>
      <c r="H514" s="29"/>
    </row>
    <row r="515" spans="1:8" ht="15" customHeight="1" x14ac:dyDescent="0.25">
      <c r="C515" s="39"/>
      <c r="D515" s="67"/>
      <c r="H515" s="39"/>
    </row>
    <row r="516" spans="1:8" ht="64.5" customHeight="1" x14ac:dyDescent="0.25">
      <c r="A516" s="274">
        <v>43</v>
      </c>
      <c r="B516" s="322" t="s">
        <v>388</v>
      </c>
      <c r="C516" s="320" t="s">
        <v>389</v>
      </c>
      <c r="D516" s="321"/>
      <c r="E516" s="21">
        <v>0</v>
      </c>
      <c r="F516" s="8" t="str">
        <f>IF(OR(ISBLANK(E516),E516&gt;4),"Salah isi","judge")</f>
        <v>judge</v>
      </c>
      <c r="H516" s="265" t="s">
        <v>753</v>
      </c>
    </row>
    <row r="517" spans="1:8" ht="72.95" customHeight="1" x14ac:dyDescent="0.25">
      <c r="A517" s="275"/>
      <c r="B517" s="293"/>
      <c r="C517" s="22">
        <v>4</v>
      </c>
      <c r="D517" s="60" t="s">
        <v>390</v>
      </c>
      <c r="E517" s="23"/>
      <c r="H517" s="29"/>
    </row>
    <row r="518" spans="1:8" ht="58.35" customHeight="1" x14ac:dyDescent="0.25">
      <c r="A518" s="275"/>
      <c r="B518" s="293"/>
      <c r="C518" s="22">
        <v>3</v>
      </c>
      <c r="D518" s="60" t="s">
        <v>391</v>
      </c>
      <c r="E518" s="23"/>
      <c r="H518" s="29"/>
    </row>
    <row r="519" spans="1:8" ht="58.35" customHeight="1" x14ac:dyDescent="0.25">
      <c r="A519" s="275"/>
      <c r="B519" s="293"/>
      <c r="C519" s="22">
        <v>2</v>
      </c>
      <c r="D519" s="60" t="s">
        <v>392</v>
      </c>
      <c r="E519" s="23"/>
      <c r="H519" s="29"/>
    </row>
    <row r="520" spans="1:8" ht="58.35" customHeight="1" x14ac:dyDescent="0.25">
      <c r="A520" s="275"/>
      <c r="B520" s="293"/>
      <c r="C520" s="22">
        <v>1</v>
      </c>
      <c r="D520" s="60" t="s">
        <v>393</v>
      </c>
      <c r="E520" s="23"/>
      <c r="H520" s="29"/>
    </row>
    <row r="521" spans="1:8" ht="43.7" customHeight="1" x14ac:dyDescent="0.25">
      <c r="A521" s="275"/>
      <c r="B521" s="293"/>
      <c r="C521" s="22">
        <v>0</v>
      </c>
      <c r="D521" s="60" t="s">
        <v>394</v>
      </c>
      <c r="E521" s="24"/>
      <c r="H521" s="29"/>
    </row>
    <row r="522" spans="1:8" ht="15" customHeight="1" x14ac:dyDescent="0.25">
      <c r="A522" s="276"/>
      <c r="B522" s="294"/>
      <c r="C522" s="289" t="s">
        <v>36</v>
      </c>
      <c r="D522" s="290"/>
      <c r="E522" s="25">
        <f>IF(F516="Salah isi",0,E516)</f>
        <v>0</v>
      </c>
      <c r="H522" s="29"/>
    </row>
    <row r="523" spans="1:8" ht="15" customHeight="1" x14ac:dyDescent="0.25">
      <c r="A523" s="26"/>
      <c r="B523" s="26"/>
      <c r="C523" s="27"/>
      <c r="D523" s="62"/>
      <c r="E523" s="28"/>
      <c r="H523" s="29"/>
    </row>
    <row r="524" spans="1:8" ht="78.75" customHeight="1" x14ac:dyDescent="0.25">
      <c r="A524" s="274">
        <v>44</v>
      </c>
      <c r="B524" s="322" t="s">
        <v>395</v>
      </c>
      <c r="C524" s="320" t="s">
        <v>396</v>
      </c>
      <c r="D524" s="327"/>
      <c r="E524" s="21">
        <v>0</v>
      </c>
      <c r="F524" s="8" t="str">
        <f>IF(OR(ISBLANK(E524),E524&gt;4),"Salah isi","judge")</f>
        <v>judge</v>
      </c>
      <c r="H524" s="202" t="s">
        <v>720</v>
      </c>
    </row>
    <row r="525" spans="1:8" ht="43.7" customHeight="1" x14ac:dyDescent="0.25">
      <c r="A525" s="275"/>
      <c r="B525" s="293"/>
      <c r="C525" s="30">
        <v>4</v>
      </c>
      <c r="D525" s="63" t="s">
        <v>397</v>
      </c>
      <c r="E525" s="31"/>
      <c r="H525" s="29"/>
    </row>
    <row r="526" spans="1:8" ht="43.7" customHeight="1" x14ac:dyDescent="0.25">
      <c r="A526" s="275"/>
      <c r="B526" s="293"/>
      <c r="C526" s="30">
        <v>3</v>
      </c>
      <c r="D526" s="63" t="s">
        <v>398</v>
      </c>
      <c r="E526" s="31"/>
      <c r="H526" s="29"/>
    </row>
    <row r="527" spans="1:8" ht="29.1" customHeight="1" x14ac:dyDescent="0.25">
      <c r="A527" s="275"/>
      <c r="B527" s="293"/>
      <c r="C527" s="30">
        <v>2</v>
      </c>
      <c r="D527" s="63" t="s">
        <v>399</v>
      </c>
      <c r="E527" s="31"/>
      <c r="H527" s="29"/>
    </row>
    <row r="528" spans="1:8" ht="29.1" customHeight="1" x14ac:dyDescent="0.25">
      <c r="A528" s="275"/>
      <c r="B528" s="293"/>
      <c r="C528" s="30">
        <v>1</v>
      </c>
      <c r="D528" s="63" t="s">
        <v>400</v>
      </c>
      <c r="E528" s="31"/>
      <c r="H528" s="29"/>
    </row>
    <row r="529" spans="1:8" ht="30" x14ac:dyDescent="0.25">
      <c r="A529" s="275"/>
      <c r="B529" s="293"/>
      <c r="C529" s="30">
        <v>0</v>
      </c>
      <c r="D529" s="63" t="s">
        <v>401</v>
      </c>
      <c r="E529" s="32"/>
      <c r="H529" s="29"/>
    </row>
    <row r="530" spans="1:8" ht="97.5" customHeight="1" x14ac:dyDescent="0.25">
      <c r="A530" s="275"/>
      <c r="B530" s="293"/>
      <c r="C530" s="299" t="s">
        <v>402</v>
      </c>
      <c r="D530" s="325"/>
      <c r="E530" s="33">
        <v>0</v>
      </c>
      <c r="F530" s="8" t="str">
        <f>IF(OR(ISBLANK(E530),E530&gt;4),"Salah isi","judge")</f>
        <v>judge</v>
      </c>
      <c r="H530" s="29"/>
    </row>
    <row r="531" spans="1:8" ht="43.7" customHeight="1" x14ac:dyDescent="0.25">
      <c r="A531" s="275"/>
      <c r="B531" s="293"/>
      <c r="C531" s="30">
        <v>4</v>
      </c>
      <c r="D531" s="65" t="s">
        <v>403</v>
      </c>
      <c r="E531" s="31"/>
      <c r="F531" s="56"/>
      <c r="H531" s="29"/>
    </row>
    <row r="532" spans="1:8" ht="43.7" customHeight="1" x14ac:dyDescent="0.25">
      <c r="A532" s="275"/>
      <c r="B532" s="293"/>
      <c r="C532" s="30">
        <v>3</v>
      </c>
      <c r="D532" s="65" t="s">
        <v>404</v>
      </c>
      <c r="E532" s="31"/>
      <c r="F532" s="56"/>
      <c r="H532" s="29"/>
    </row>
    <row r="533" spans="1:8" ht="43.7" customHeight="1" x14ac:dyDescent="0.25">
      <c r="A533" s="275"/>
      <c r="B533" s="293"/>
      <c r="C533" s="30">
        <v>2</v>
      </c>
      <c r="D533" s="65" t="s">
        <v>405</v>
      </c>
      <c r="E533" s="31"/>
      <c r="F533" s="56"/>
      <c r="H533" s="29"/>
    </row>
    <row r="534" spans="1:8" ht="43.7" customHeight="1" x14ac:dyDescent="0.25">
      <c r="A534" s="275"/>
      <c r="B534" s="293"/>
      <c r="C534" s="30">
        <v>1</v>
      </c>
      <c r="D534" s="65" t="s">
        <v>406</v>
      </c>
      <c r="E534" s="31"/>
      <c r="H534" s="29"/>
    </row>
    <row r="535" spans="1:8" ht="30" customHeight="1" x14ac:dyDescent="0.25">
      <c r="A535" s="275"/>
      <c r="B535" s="293"/>
      <c r="C535" s="30">
        <v>0</v>
      </c>
      <c r="D535" s="65" t="s">
        <v>407</v>
      </c>
      <c r="E535" s="32"/>
      <c r="H535" s="29"/>
    </row>
    <row r="536" spans="1:8" ht="187.5" customHeight="1" x14ac:dyDescent="0.25">
      <c r="A536" s="275"/>
      <c r="B536" s="293"/>
      <c r="C536" s="299" t="s">
        <v>408</v>
      </c>
      <c r="D536" s="325"/>
      <c r="E536" s="33">
        <v>1</v>
      </c>
      <c r="F536" s="8" t="str">
        <f>IF(OR(ISBLANK(E536),E536&lt;1,E536&gt;4),"Salah isi","judge")</f>
        <v>judge</v>
      </c>
      <c r="H536" s="29"/>
    </row>
    <row r="537" spans="1:8" x14ac:dyDescent="0.25">
      <c r="A537" s="275"/>
      <c r="B537" s="293"/>
      <c r="C537" s="30">
        <v>4</v>
      </c>
      <c r="D537" s="65" t="s">
        <v>409</v>
      </c>
      <c r="E537" s="31"/>
      <c r="F537" s="56"/>
      <c r="H537" s="29"/>
    </row>
    <row r="538" spans="1:8" ht="29.1" customHeight="1" x14ac:dyDescent="0.25">
      <c r="A538" s="275"/>
      <c r="B538" s="293"/>
      <c r="C538" s="30">
        <v>3</v>
      </c>
      <c r="D538" s="65" t="s">
        <v>410</v>
      </c>
      <c r="E538" s="31"/>
      <c r="F538" s="56"/>
      <c r="H538" s="29"/>
    </row>
    <row r="539" spans="1:8" ht="29.1" customHeight="1" x14ac:dyDescent="0.25">
      <c r="A539" s="275"/>
      <c r="B539" s="293"/>
      <c r="C539" s="30">
        <v>2</v>
      </c>
      <c r="D539" s="65" t="s">
        <v>411</v>
      </c>
      <c r="E539" s="31"/>
      <c r="F539" s="56"/>
      <c r="H539" s="29"/>
    </row>
    <row r="540" spans="1:8" ht="29.1" customHeight="1" x14ac:dyDescent="0.25">
      <c r="A540" s="275"/>
      <c r="B540" s="293"/>
      <c r="C540" s="30">
        <v>1</v>
      </c>
      <c r="D540" s="65" t="s">
        <v>412</v>
      </c>
      <c r="E540" s="31"/>
      <c r="H540" s="29"/>
    </row>
    <row r="541" spans="1:8" ht="30" customHeight="1" x14ac:dyDescent="0.25">
      <c r="A541" s="275"/>
      <c r="B541" s="293"/>
      <c r="C541" s="30">
        <v>0</v>
      </c>
      <c r="D541" s="65" t="s">
        <v>75</v>
      </c>
      <c r="E541" s="32"/>
      <c r="H541" s="29"/>
    </row>
    <row r="542" spans="1:8" ht="39.75" hidden="1" customHeight="1" x14ac:dyDescent="0.25">
      <c r="A542" s="275"/>
      <c r="B542" s="293"/>
      <c r="C542" s="305"/>
      <c r="D542" s="371"/>
      <c r="E542" s="103"/>
      <c r="H542" s="29"/>
    </row>
    <row r="543" spans="1:8" ht="14.45" hidden="1" customHeight="1" x14ac:dyDescent="0.25">
      <c r="A543" s="275"/>
      <c r="B543" s="293"/>
      <c r="C543" s="99"/>
      <c r="D543" s="100"/>
      <c r="E543" s="101"/>
      <c r="H543" s="29"/>
    </row>
    <row r="544" spans="1:8" ht="14.45" hidden="1" customHeight="1" x14ac:dyDescent="0.25">
      <c r="A544" s="275"/>
      <c r="B544" s="293"/>
      <c r="C544" s="99"/>
      <c r="D544" s="100"/>
      <c r="E544" s="101"/>
      <c r="H544" s="29"/>
    </row>
    <row r="545" spans="1:8" ht="14.45" hidden="1" customHeight="1" x14ac:dyDescent="0.25">
      <c r="A545" s="275"/>
      <c r="B545" s="293"/>
      <c r="C545" s="99"/>
      <c r="D545" s="104"/>
      <c r="E545" s="105"/>
      <c r="H545" s="29"/>
    </row>
    <row r="546" spans="1:8" ht="14.45" hidden="1" customHeight="1" x14ac:dyDescent="0.25">
      <c r="A546" s="275"/>
      <c r="B546" s="293"/>
      <c r="C546" s="99"/>
      <c r="D546" s="106"/>
      <c r="E546" s="107"/>
      <c r="H546" s="29"/>
    </row>
    <row r="547" spans="1:8" ht="14.45" hidden="1" customHeight="1" x14ac:dyDescent="0.25">
      <c r="A547" s="275"/>
      <c r="B547" s="293"/>
      <c r="C547" s="99"/>
      <c r="D547" s="106"/>
      <c r="E547" s="107"/>
      <c r="H547" s="29"/>
    </row>
    <row r="548" spans="1:8" ht="39.75" hidden="1" customHeight="1" x14ac:dyDescent="0.25">
      <c r="A548" s="275"/>
      <c r="B548" s="293"/>
      <c r="C548" s="305"/>
      <c r="D548" s="371"/>
      <c r="E548" s="103"/>
      <c r="H548" s="29"/>
    </row>
    <row r="549" spans="1:8" ht="14.45" hidden="1" customHeight="1" x14ac:dyDescent="0.25">
      <c r="A549" s="275"/>
      <c r="B549" s="293"/>
      <c r="C549" s="99"/>
      <c r="D549" s="100"/>
      <c r="E549" s="101"/>
      <c r="H549" s="29"/>
    </row>
    <row r="550" spans="1:8" ht="14.45" hidden="1" customHeight="1" x14ac:dyDescent="0.25">
      <c r="A550" s="275"/>
      <c r="B550" s="293"/>
      <c r="C550" s="99"/>
      <c r="D550" s="100"/>
      <c r="E550" s="101"/>
      <c r="F550" s="56"/>
      <c r="H550" s="29"/>
    </row>
    <row r="551" spans="1:8" ht="14.45" hidden="1" customHeight="1" x14ac:dyDescent="0.25">
      <c r="A551" s="275"/>
      <c r="B551" s="293"/>
      <c r="C551" s="99"/>
      <c r="D551" s="100"/>
      <c r="E551" s="101"/>
      <c r="F551" s="56"/>
      <c r="H551" s="29"/>
    </row>
    <row r="552" spans="1:8" ht="14.45" hidden="1" customHeight="1" x14ac:dyDescent="0.25">
      <c r="A552" s="275"/>
      <c r="B552" s="293"/>
      <c r="C552" s="99"/>
      <c r="D552" s="100"/>
      <c r="E552" s="101"/>
      <c r="H552" s="29"/>
    </row>
    <row r="553" spans="1:8" ht="14.45" hidden="1" customHeight="1" x14ac:dyDescent="0.25">
      <c r="A553" s="275"/>
      <c r="B553" s="293"/>
      <c r="C553" s="99"/>
      <c r="D553" s="100"/>
      <c r="E553" s="98"/>
      <c r="H553" s="29"/>
    </row>
    <row r="554" spans="1:8" ht="15" customHeight="1" x14ac:dyDescent="0.25">
      <c r="A554" s="276"/>
      <c r="B554" s="294"/>
      <c r="C554" s="289" t="s">
        <v>337</v>
      </c>
      <c r="D554" s="326"/>
      <c r="E554" s="25">
        <f>IF(OR(F524="Salah isi",F530="Salah isi",F536="Salah Isi"),0,(E524+2*E530+2*E536)/5)</f>
        <v>0.4</v>
      </c>
      <c r="H554" s="29"/>
    </row>
    <row r="555" spans="1:8" ht="15" customHeight="1" x14ac:dyDescent="0.25">
      <c r="A555" s="26"/>
      <c r="B555" s="26"/>
      <c r="C555" s="27"/>
      <c r="D555" s="62"/>
      <c r="E555" s="28"/>
      <c r="H555" s="29"/>
    </row>
    <row r="556" spans="1:8" ht="53.45" customHeight="1" x14ac:dyDescent="0.25">
      <c r="A556" s="274">
        <v>45</v>
      </c>
      <c r="B556" s="322" t="s">
        <v>413</v>
      </c>
      <c r="C556" s="323" t="s">
        <v>414</v>
      </c>
      <c r="D556" s="323"/>
      <c r="E556" s="46"/>
      <c r="H556" s="202" t="s">
        <v>754</v>
      </c>
    </row>
    <row r="557" spans="1:8" ht="33.6" customHeight="1" x14ac:dyDescent="0.25">
      <c r="A557" s="275"/>
      <c r="B557" s="293"/>
      <c r="C557" s="299" t="s">
        <v>415</v>
      </c>
      <c r="D557" s="300"/>
      <c r="E557" s="258">
        <v>5</v>
      </c>
      <c r="F557" s="8" t="s">
        <v>96</v>
      </c>
      <c r="G557" s="37"/>
      <c r="H557" s="29"/>
    </row>
    <row r="558" spans="1:8" ht="30.6" hidden="1" customHeight="1" x14ac:dyDescent="0.25">
      <c r="A558" s="275"/>
      <c r="B558" s="293"/>
      <c r="C558" s="154"/>
      <c r="D558" s="154"/>
      <c r="E558" s="146"/>
      <c r="G558" s="37"/>
      <c r="H558" s="29"/>
    </row>
    <row r="559" spans="1:8" ht="14.45" hidden="1" customHeight="1" x14ac:dyDescent="0.25">
      <c r="A559" s="275"/>
      <c r="B559" s="293"/>
      <c r="C559" s="154"/>
      <c r="D559" s="154"/>
      <c r="E559" s="146"/>
      <c r="G559" s="37"/>
      <c r="H559" s="29"/>
    </row>
    <row r="560" spans="1:8" ht="14.45" hidden="1" customHeight="1" x14ac:dyDescent="0.25">
      <c r="A560" s="275"/>
      <c r="B560" s="293"/>
      <c r="C560" s="139"/>
      <c r="D560" s="151"/>
      <c r="E560" s="155"/>
      <c r="G560" s="43"/>
      <c r="H560" s="29"/>
    </row>
    <row r="561" spans="1:8" ht="14.45" hidden="1" customHeight="1" x14ac:dyDescent="0.25">
      <c r="A561" s="275"/>
      <c r="B561" s="293"/>
      <c r="C561" s="139"/>
      <c r="D561" s="151"/>
      <c r="E561" s="155"/>
      <c r="G561" s="43"/>
      <c r="H561" s="29"/>
    </row>
    <row r="562" spans="1:8" ht="15" customHeight="1" x14ac:dyDescent="0.25">
      <c r="A562" s="276"/>
      <c r="B562" s="294"/>
      <c r="C562" s="283" t="s">
        <v>36</v>
      </c>
      <c r="D562" s="324"/>
      <c r="E562" s="25">
        <f>IF(E557&gt;3,4,IF(E557&gt;=2,3,2))</f>
        <v>4</v>
      </c>
      <c r="H562" s="29"/>
    </row>
    <row r="563" spans="1:8" ht="15" customHeight="1" x14ac:dyDescent="0.25">
      <c r="C563" s="39"/>
      <c r="D563" s="67"/>
      <c r="H563" s="39"/>
    </row>
    <row r="564" spans="1:8" ht="65.099999999999994" customHeight="1" x14ac:dyDescent="0.25">
      <c r="A564" s="274">
        <v>46</v>
      </c>
      <c r="B564" s="322" t="s">
        <v>416</v>
      </c>
      <c r="C564" s="320" t="s">
        <v>417</v>
      </c>
      <c r="D564" s="321"/>
      <c r="E564" s="21">
        <v>1</v>
      </c>
      <c r="F564" s="8" t="str">
        <f>IF(OR(E564&lt;1,E564&gt;4),"Salah isi","judge")</f>
        <v>judge</v>
      </c>
      <c r="H564" s="202" t="s">
        <v>721</v>
      </c>
    </row>
    <row r="565" spans="1:8" x14ac:dyDescent="0.25">
      <c r="A565" s="275"/>
      <c r="B565" s="293"/>
      <c r="C565" s="22">
        <v>4</v>
      </c>
      <c r="D565" s="60" t="s">
        <v>418</v>
      </c>
      <c r="E565" s="23"/>
      <c r="H565" s="29"/>
    </row>
    <row r="566" spans="1:8" ht="30" x14ac:dyDescent="0.25">
      <c r="A566" s="275"/>
      <c r="B566" s="293"/>
      <c r="C566" s="22">
        <v>3</v>
      </c>
      <c r="D566" s="60" t="s">
        <v>419</v>
      </c>
      <c r="E566" s="23"/>
      <c r="H566" s="29"/>
    </row>
    <row r="567" spans="1:8" ht="29.1" customHeight="1" x14ac:dyDescent="0.25">
      <c r="A567" s="275"/>
      <c r="B567" s="293"/>
      <c r="C567" s="22">
        <v>2</v>
      </c>
      <c r="D567" s="60" t="s">
        <v>420</v>
      </c>
      <c r="E567" s="23"/>
      <c r="H567" s="29"/>
    </row>
    <row r="568" spans="1:8" ht="29.1" customHeight="1" x14ac:dyDescent="0.25">
      <c r="A568" s="275"/>
      <c r="B568" s="293"/>
      <c r="C568" s="22">
        <v>1</v>
      </c>
      <c r="D568" s="60" t="s">
        <v>421</v>
      </c>
      <c r="E568" s="23"/>
      <c r="H568" s="29"/>
    </row>
    <row r="569" spans="1:8" x14ac:dyDescent="0.25">
      <c r="A569" s="275"/>
      <c r="B569" s="293"/>
      <c r="C569" s="22">
        <v>0</v>
      </c>
      <c r="D569" s="60" t="s">
        <v>75</v>
      </c>
      <c r="E569" s="24"/>
      <c r="H569" s="29"/>
    </row>
    <row r="570" spans="1:8" ht="15" customHeight="1" x14ac:dyDescent="0.25">
      <c r="A570" s="276"/>
      <c r="B570" s="294"/>
      <c r="C570" s="289" t="s">
        <v>36</v>
      </c>
      <c r="D570" s="290"/>
      <c r="E570" s="25">
        <f>IF(F564="Salah isi",0,E564)</f>
        <v>1</v>
      </c>
      <c r="H570" s="29"/>
    </row>
    <row r="571" spans="1:8" ht="15" customHeight="1" x14ac:dyDescent="0.25">
      <c r="A571" s="26"/>
      <c r="B571" s="26"/>
      <c r="C571" s="27"/>
      <c r="D571" s="62"/>
      <c r="E571" s="28"/>
      <c r="H571" s="29"/>
    </row>
    <row r="572" spans="1:8" ht="205.5" customHeight="1" x14ac:dyDescent="0.25">
      <c r="A572" s="274">
        <v>47</v>
      </c>
      <c r="B572" s="322" t="s">
        <v>422</v>
      </c>
      <c r="C572" s="320" t="s">
        <v>423</v>
      </c>
      <c r="D572" s="327"/>
      <c r="E572" s="109"/>
      <c r="H572" s="202" t="s">
        <v>722</v>
      </c>
    </row>
    <row r="573" spans="1:8" ht="15.75" customHeight="1" x14ac:dyDescent="0.25">
      <c r="A573" s="275"/>
      <c r="B573" s="293"/>
      <c r="C573" s="359" t="s">
        <v>424</v>
      </c>
      <c r="D573" s="69" t="s">
        <v>425</v>
      </c>
      <c r="E573" s="258">
        <v>0.8</v>
      </c>
      <c r="F573" s="8" t="s">
        <v>96</v>
      </c>
      <c r="H573" s="29"/>
    </row>
    <row r="574" spans="1:8" ht="15" customHeight="1" x14ac:dyDescent="0.25">
      <c r="A574" s="275"/>
      <c r="B574" s="293"/>
      <c r="C574" s="360"/>
      <c r="D574" s="69" t="s">
        <v>426</v>
      </c>
      <c r="E574" s="258">
        <v>0.2</v>
      </c>
      <c r="F574" s="8" t="s">
        <v>96</v>
      </c>
      <c r="H574" s="29"/>
    </row>
    <row r="575" spans="1:8" ht="15" customHeight="1" x14ac:dyDescent="0.25">
      <c r="A575" s="275"/>
      <c r="B575" s="293"/>
      <c r="C575" s="360"/>
      <c r="D575" s="69" t="s">
        <v>427</v>
      </c>
      <c r="E575" s="258">
        <v>0</v>
      </c>
      <c r="F575" s="8" t="s">
        <v>96</v>
      </c>
      <c r="H575" s="29"/>
    </row>
    <row r="576" spans="1:8" ht="15" customHeight="1" x14ac:dyDescent="0.25">
      <c r="A576" s="275"/>
      <c r="B576" s="293"/>
      <c r="C576" s="360"/>
      <c r="D576" s="69" t="s">
        <v>428</v>
      </c>
      <c r="E576" s="258">
        <v>0</v>
      </c>
      <c r="F576" s="8" t="s">
        <v>96</v>
      </c>
      <c r="H576" s="29"/>
    </row>
    <row r="577" spans="1:8" ht="15" customHeight="1" x14ac:dyDescent="0.25">
      <c r="A577" s="275"/>
      <c r="B577" s="293"/>
      <c r="C577" s="361"/>
      <c r="D577" s="70" t="s">
        <v>429</v>
      </c>
      <c r="E577" s="55">
        <f>IF((4*E573+3*E574+2*E575+E576)/4&gt;100%,0,(4*E573+3*E574+2*E575+E576)/4)</f>
        <v>0.95000000000000007</v>
      </c>
      <c r="H577" s="29"/>
    </row>
    <row r="578" spans="1:8" ht="15.75" customHeight="1" x14ac:dyDescent="0.25">
      <c r="A578" s="275"/>
      <c r="B578" s="293"/>
      <c r="C578" s="359" t="s">
        <v>430</v>
      </c>
      <c r="D578" s="69" t="s">
        <v>425</v>
      </c>
      <c r="E578" s="258">
        <v>0.88</v>
      </c>
      <c r="F578" s="8" t="s">
        <v>96</v>
      </c>
      <c r="H578" s="29"/>
    </row>
    <row r="579" spans="1:8" ht="15" customHeight="1" x14ac:dyDescent="0.25">
      <c r="A579" s="275"/>
      <c r="B579" s="293"/>
      <c r="C579" s="360"/>
      <c r="D579" s="69" t="s">
        <v>426</v>
      </c>
      <c r="E579" s="258">
        <v>0.12</v>
      </c>
      <c r="F579" s="8" t="s">
        <v>96</v>
      </c>
      <c r="H579" s="29"/>
    </row>
    <row r="580" spans="1:8" ht="15" customHeight="1" x14ac:dyDescent="0.25">
      <c r="A580" s="275"/>
      <c r="B580" s="293"/>
      <c r="C580" s="360"/>
      <c r="D580" s="69" t="s">
        <v>427</v>
      </c>
      <c r="E580" s="258">
        <v>0</v>
      </c>
      <c r="F580" s="8" t="s">
        <v>96</v>
      </c>
      <c r="H580" s="29"/>
    </row>
    <row r="581" spans="1:8" ht="15" customHeight="1" x14ac:dyDescent="0.25">
      <c r="A581" s="275"/>
      <c r="B581" s="293"/>
      <c r="C581" s="360"/>
      <c r="D581" s="69" t="s">
        <v>428</v>
      </c>
      <c r="E581" s="258">
        <v>0</v>
      </c>
      <c r="F581" s="8" t="s">
        <v>96</v>
      </c>
      <c r="H581" s="29"/>
    </row>
    <row r="582" spans="1:8" ht="15" customHeight="1" x14ac:dyDescent="0.25">
      <c r="A582" s="275"/>
      <c r="B582" s="293"/>
      <c r="C582" s="361"/>
      <c r="D582" s="70" t="s">
        <v>431</v>
      </c>
      <c r="E582" s="55">
        <f>IF((4*E578+3*E579+2*E580+E581)/4&gt;100%,0,(4*E578+3*E579+2*E580+E581)/4)</f>
        <v>0.97</v>
      </c>
      <c r="H582" s="29"/>
    </row>
    <row r="583" spans="1:8" ht="15.75" customHeight="1" x14ac:dyDescent="0.25">
      <c r="A583" s="275"/>
      <c r="B583" s="293"/>
      <c r="C583" s="359" t="s">
        <v>432</v>
      </c>
      <c r="D583" s="69" t="s">
        <v>425</v>
      </c>
      <c r="E583" s="258">
        <v>0.85</v>
      </c>
      <c r="F583" s="8" t="s">
        <v>96</v>
      </c>
      <c r="H583" s="29"/>
    </row>
    <row r="584" spans="1:8" ht="15" customHeight="1" x14ac:dyDescent="0.25">
      <c r="A584" s="275"/>
      <c r="B584" s="293"/>
      <c r="C584" s="360"/>
      <c r="D584" s="69" t="s">
        <v>426</v>
      </c>
      <c r="E584" s="258">
        <v>0.15</v>
      </c>
      <c r="F584" s="8" t="s">
        <v>96</v>
      </c>
      <c r="H584" s="29"/>
    </row>
    <row r="585" spans="1:8" ht="15" customHeight="1" x14ac:dyDescent="0.25">
      <c r="A585" s="275"/>
      <c r="B585" s="293"/>
      <c r="C585" s="360"/>
      <c r="D585" s="69" t="s">
        <v>427</v>
      </c>
      <c r="E585" s="258">
        <v>0</v>
      </c>
      <c r="F585" s="8" t="s">
        <v>96</v>
      </c>
      <c r="H585" s="29"/>
    </row>
    <row r="586" spans="1:8" ht="15" customHeight="1" x14ac:dyDescent="0.25">
      <c r="A586" s="275"/>
      <c r="B586" s="293"/>
      <c r="C586" s="360"/>
      <c r="D586" s="69" t="s">
        <v>428</v>
      </c>
      <c r="E586" s="258">
        <v>0</v>
      </c>
      <c r="F586" s="8" t="s">
        <v>96</v>
      </c>
      <c r="H586" s="29"/>
    </row>
    <row r="587" spans="1:8" ht="15" customHeight="1" x14ac:dyDescent="0.25">
      <c r="A587" s="275"/>
      <c r="B587" s="293"/>
      <c r="C587" s="361"/>
      <c r="D587" s="70" t="s">
        <v>433</v>
      </c>
      <c r="E587" s="55">
        <f>IF((4*E583+3*E584+2*E585+E586)/4&gt;100%,0,(4*E583+3*E584+2*E585+E586)/4)</f>
        <v>0.96249999999999991</v>
      </c>
      <c r="H587" s="29"/>
    </row>
    <row r="588" spans="1:8" ht="15.75" customHeight="1" x14ac:dyDescent="0.25">
      <c r="A588" s="275"/>
      <c r="B588" s="293"/>
      <c r="C588" s="356" t="s">
        <v>434</v>
      </c>
      <c r="D588" s="69" t="s">
        <v>425</v>
      </c>
      <c r="E588" s="258">
        <v>0.91</v>
      </c>
      <c r="F588" s="8" t="s">
        <v>96</v>
      </c>
      <c r="H588" s="29"/>
    </row>
    <row r="589" spans="1:8" ht="15" customHeight="1" x14ac:dyDescent="0.25">
      <c r="A589" s="275"/>
      <c r="B589" s="293"/>
      <c r="C589" s="357"/>
      <c r="D589" s="69" t="s">
        <v>426</v>
      </c>
      <c r="E589" s="258">
        <v>0.09</v>
      </c>
      <c r="F589" s="8" t="s">
        <v>96</v>
      </c>
      <c r="H589" s="29"/>
    </row>
    <row r="590" spans="1:8" ht="15" customHeight="1" x14ac:dyDescent="0.25">
      <c r="A590" s="275"/>
      <c r="B590" s="293"/>
      <c r="C590" s="357"/>
      <c r="D590" s="69" t="s">
        <v>427</v>
      </c>
      <c r="E590" s="258">
        <v>0</v>
      </c>
      <c r="F590" s="8" t="s">
        <v>96</v>
      </c>
      <c r="H590" s="29"/>
    </row>
    <row r="591" spans="1:8" ht="15" customHeight="1" x14ac:dyDescent="0.25">
      <c r="A591" s="275"/>
      <c r="B591" s="293"/>
      <c r="C591" s="357"/>
      <c r="D591" s="69" t="s">
        <v>428</v>
      </c>
      <c r="E591" s="258">
        <v>0</v>
      </c>
      <c r="F591" s="8" t="s">
        <v>96</v>
      </c>
      <c r="H591" s="29"/>
    </row>
    <row r="592" spans="1:8" ht="15" customHeight="1" x14ac:dyDescent="0.25">
      <c r="A592" s="275"/>
      <c r="B592" s="293"/>
      <c r="C592" s="358"/>
      <c r="D592" s="70" t="s">
        <v>435</v>
      </c>
      <c r="E592" s="55">
        <f>IF((4*E588+3*E589+2*E590+E591)/4&gt;100%,0,(4*E588+3*E589+2*E590+E591)/4)</f>
        <v>0.97750000000000004</v>
      </c>
      <c r="H592" s="29"/>
    </row>
    <row r="593" spans="1:8" ht="15.75" customHeight="1" x14ac:dyDescent="0.25">
      <c r="A593" s="275"/>
      <c r="B593" s="293"/>
      <c r="C593" s="359" t="s">
        <v>436</v>
      </c>
      <c r="D593" s="69" t="s">
        <v>425</v>
      </c>
      <c r="E593" s="258">
        <v>0.8</v>
      </c>
      <c r="F593" s="8" t="s">
        <v>96</v>
      </c>
      <c r="H593" s="29"/>
    </row>
    <row r="594" spans="1:8" ht="15" customHeight="1" x14ac:dyDescent="0.25">
      <c r="A594" s="275"/>
      <c r="B594" s="293"/>
      <c r="C594" s="360"/>
      <c r="D594" s="69" t="s">
        <v>426</v>
      </c>
      <c r="E594" s="258">
        <v>0.2</v>
      </c>
      <c r="F594" s="8" t="s">
        <v>96</v>
      </c>
      <c r="H594" s="29"/>
    </row>
    <row r="595" spans="1:8" ht="15" customHeight="1" x14ac:dyDescent="0.25">
      <c r="A595" s="275"/>
      <c r="B595" s="293"/>
      <c r="C595" s="360"/>
      <c r="D595" s="69" t="s">
        <v>427</v>
      </c>
      <c r="E595" s="258">
        <v>0</v>
      </c>
      <c r="F595" s="8" t="s">
        <v>96</v>
      </c>
      <c r="H595" s="29"/>
    </row>
    <row r="596" spans="1:8" ht="15" customHeight="1" x14ac:dyDescent="0.25">
      <c r="A596" s="275"/>
      <c r="B596" s="293"/>
      <c r="C596" s="360"/>
      <c r="D596" s="69" t="s">
        <v>428</v>
      </c>
      <c r="E596" s="258">
        <v>0</v>
      </c>
      <c r="F596" s="8" t="s">
        <v>96</v>
      </c>
      <c r="H596" s="29"/>
    </row>
    <row r="597" spans="1:8" ht="15" customHeight="1" x14ac:dyDescent="0.25">
      <c r="A597" s="275"/>
      <c r="B597" s="293"/>
      <c r="C597" s="361"/>
      <c r="D597" s="70" t="s">
        <v>437</v>
      </c>
      <c r="E597" s="55">
        <f>IF((4*E593+3*E594+2*E595+E596)/4&gt;100%,0,(4*E593+3*E594+2*E595+E596)/4)</f>
        <v>0.95000000000000007</v>
      </c>
      <c r="H597" s="29"/>
    </row>
    <row r="598" spans="1:8" x14ac:dyDescent="0.25">
      <c r="A598" s="275"/>
      <c r="B598" s="293"/>
      <c r="C598" s="362" t="s">
        <v>438</v>
      </c>
      <c r="D598" s="363"/>
      <c r="E598" s="72">
        <f>(E577+E582+E587+E592+E597)/5</f>
        <v>0.96199999999999997</v>
      </c>
      <c r="H598" s="29"/>
    </row>
    <row r="599" spans="1:8" ht="14.45" hidden="1" customHeight="1" x14ac:dyDescent="0.25">
      <c r="A599" s="275"/>
      <c r="B599" s="293"/>
      <c r="C599" s="188" t="s">
        <v>187</v>
      </c>
      <c r="D599" s="189">
        <v>0.25</v>
      </c>
      <c r="E599" s="144"/>
      <c r="H599" s="29"/>
    </row>
    <row r="600" spans="1:8" ht="14.45" hidden="1" customHeight="1" x14ac:dyDescent="0.25">
      <c r="A600" s="275"/>
      <c r="B600" s="293"/>
      <c r="C600" s="188" t="s">
        <v>188</v>
      </c>
      <c r="D600" s="189">
        <v>0.75</v>
      </c>
      <c r="E600" s="144"/>
      <c r="H600" s="29"/>
    </row>
    <row r="601" spans="1:8" ht="15" customHeight="1" x14ac:dyDescent="0.25">
      <c r="A601" s="275"/>
      <c r="B601" s="293"/>
      <c r="C601" s="299" t="s">
        <v>105</v>
      </c>
      <c r="D601" s="300"/>
      <c r="E601" s="108">
        <f>IF(E598&gt;=D600,4,IF(E598&gt;=D599,4/(D600-D599)*(E598-D599),0))</f>
        <v>4</v>
      </c>
      <c r="H601" s="29"/>
    </row>
    <row r="602" spans="1:8" ht="34.35" customHeight="1" x14ac:dyDescent="0.25">
      <c r="A602" s="275"/>
      <c r="B602" s="293"/>
      <c r="C602" s="347" t="s">
        <v>439</v>
      </c>
      <c r="D602" s="325"/>
      <c r="E602" s="33">
        <v>1</v>
      </c>
      <c r="F602" s="8" t="str">
        <f>IF(OR(ISBLANK(E602),E602&gt;4),"Salah isi","judge")</f>
        <v>judge</v>
      </c>
      <c r="H602" s="29"/>
    </row>
    <row r="603" spans="1:8" ht="43.7" customHeight="1" x14ac:dyDescent="0.25">
      <c r="A603" s="275"/>
      <c r="B603" s="293"/>
      <c r="C603" s="30">
        <v>4</v>
      </c>
      <c r="D603" s="65" t="s">
        <v>440</v>
      </c>
      <c r="E603" s="31"/>
      <c r="F603" s="56"/>
      <c r="H603" s="29"/>
    </row>
    <row r="604" spans="1:8" ht="43.7" customHeight="1" x14ac:dyDescent="0.25">
      <c r="A604" s="275"/>
      <c r="B604" s="293"/>
      <c r="C604" s="30">
        <v>3</v>
      </c>
      <c r="D604" s="65" t="s">
        <v>441</v>
      </c>
      <c r="E604" s="31"/>
      <c r="F604" s="56"/>
      <c r="H604" s="29"/>
    </row>
    <row r="605" spans="1:8" ht="29.1" customHeight="1" x14ac:dyDescent="0.25">
      <c r="A605" s="275"/>
      <c r="B605" s="293"/>
      <c r="C605" s="30">
        <v>2</v>
      </c>
      <c r="D605" s="65" t="s">
        <v>442</v>
      </c>
      <c r="E605" s="31"/>
      <c r="F605" s="56"/>
      <c r="H605" s="29"/>
    </row>
    <row r="606" spans="1:8" ht="43.7" customHeight="1" x14ac:dyDescent="0.25">
      <c r="A606" s="275"/>
      <c r="B606" s="293"/>
      <c r="C606" s="30">
        <v>1</v>
      </c>
      <c r="D606" s="65" t="s">
        <v>443</v>
      </c>
      <c r="E606" s="31"/>
      <c r="F606" s="56"/>
      <c r="H606" s="29"/>
    </row>
    <row r="607" spans="1:8" ht="29.1" customHeight="1" x14ac:dyDescent="0.25">
      <c r="A607" s="275"/>
      <c r="B607" s="293"/>
      <c r="C607" s="30">
        <v>0</v>
      </c>
      <c r="D607" s="65" t="s">
        <v>444</v>
      </c>
      <c r="E607" s="32"/>
      <c r="F607" s="56"/>
      <c r="H607" s="29"/>
    </row>
    <row r="608" spans="1:8" x14ac:dyDescent="0.25">
      <c r="A608" s="275"/>
      <c r="B608" s="293"/>
      <c r="C608" s="299" t="s">
        <v>115</v>
      </c>
      <c r="D608" s="300"/>
      <c r="E608" s="108">
        <f>E602</f>
        <v>1</v>
      </c>
      <c r="H608" s="29"/>
    </row>
    <row r="609" spans="1:8" ht="15" customHeight="1" x14ac:dyDescent="0.25">
      <c r="A609" s="276"/>
      <c r="B609" s="294"/>
      <c r="C609" s="289" t="s">
        <v>76</v>
      </c>
      <c r="D609" s="326"/>
      <c r="E609" s="25">
        <f>IF(F602="Salah isi",0,(E601+2*E608)/3)</f>
        <v>2</v>
      </c>
      <c r="H609" s="29"/>
    </row>
    <row r="610" spans="1:8" ht="15" customHeight="1" x14ac:dyDescent="0.25">
      <c r="A610" s="26"/>
      <c r="B610" s="26"/>
      <c r="C610" s="27"/>
      <c r="D610" s="62"/>
      <c r="E610" s="28"/>
      <c r="H610" s="29"/>
    </row>
    <row r="611" spans="1:8" ht="160.5" customHeight="1" x14ac:dyDescent="0.25">
      <c r="A611" s="274">
        <v>48</v>
      </c>
      <c r="B611" s="322" t="s">
        <v>445</v>
      </c>
      <c r="C611" s="320" t="s">
        <v>446</v>
      </c>
      <c r="D611" s="327"/>
      <c r="E611" s="21">
        <v>0</v>
      </c>
      <c r="F611" s="8" t="str">
        <f>IF(OR(ISBLANK(E611),E611&gt;4),"Salah isi","judge")</f>
        <v>judge</v>
      </c>
      <c r="H611" s="202" t="s">
        <v>723</v>
      </c>
    </row>
    <row r="612" spans="1:8" ht="30" x14ac:dyDescent="0.25">
      <c r="A612" s="275"/>
      <c r="B612" s="293"/>
      <c r="C612" s="30">
        <v>4</v>
      </c>
      <c r="D612" s="63" t="s">
        <v>447</v>
      </c>
      <c r="E612" s="31"/>
      <c r="H612" s="29"/>
    </row>
    <row r="613" spans="1:8" ht="29.1" customHeight="1" x14ac:dyDescent="0.25">
      <c r="A613" s="275"/>
      <c r="B613" s="293"/>
      <c r="C613" s="30">
        <v>3</v>
      </c>
      <c r="D613" s="63" t="s">
        <v>448</v>
      </c>
      <c r="E613" s="31"/>
      <c r="H613" s="29"/>
    </row>
    <row r="614" spans="1:8" ht="29.1" customHeight="1" x14ac:dyDescent="0.25">
      <c r="A614" s="275"/>
      <c r="B614" s="293"/>
      <c r="C614" s="30">
        <v>2</v>
      </c>
      <c r="D614" s="63" t="s">
        <v>449</v>
      </c>
      <c r="E614" s="31"/>
      <c r="H614" s="29"/>
    </row>
    <row r="615" spans="1:8" ht="29.1" customHeight="1" x14ac:dyDescent="0.25">
      <c r="A615" s="275"/>
      <c r="B615" s="293"/>
      <c r="C615" s="30">
        <v>1</v>
      </c>
      <c r="D615" s="63" t="s">
        <v>450</v>
      </c>
      <c r="E615" s="31"/>
      <c r="H615" s="29"/>
    </row>
    <row r="616" spans="1:8" ht="30" x14ac:dyDescent="0.25">
      <c r="A616" s="275"/>
      <c r="B616" s="293"/>
      <c r="C616" s="30">
        <v>0</v>
      </c>
      <c r="D616" s="61" t="s">
        <v>451</v>
      </c>
      <c r="E616" s="32"/>
      <c r="H616" s="29"/>
    </row>
    <row r="617" spans="1:8" ht="15" customHeight="1" x14ac:dyDescent="0.25">
      <c r="A617" s="276"/>
      <c r="B617" s="294"/>
      <c r="C617" s="289" t="s">
        <v>36</v>
      </c>
      <c r="D617" s="326"/>
      <c r="E617" s="25">
        <f>IF(F611="Salah isi",0,E611)</f>
        <v>0</v>
      </c>
      <c r="H617" s="29"/>
    </row>
    <row r="618" spans="1:8" ht="15" customHeight="1" x14ac:dyDescent="0.25">
      <c r="A618" s="26"/>
      <c r="B618" s="26"/>
      <c r="C618" s="27"/>
      <c r="D618" s="62"/>
      <c r="E618" s="28"/>
      <c r="H618" s="29"/>
    </row>
    <row r="619" spans="1:8" ht="44.45" customHeight="1" x14ac:dyDescent="0.25">
      <c r="A619" s="274">
        <v>49</v>
      </c>
      <c r="B619" s="322" t="s">
        <v>452</v>
      </c>
      <c r="C619" s="323" t="s">
        <v>453</v>
      </c>
      <c r="D619" s="323"/>
      <c r="E619" s="46"/>
      <c r="H619" s="202" t="s">
        <v>724</v>
      </c>
    </row>
    <row r="620" spans="1:8" ht="34.5" customHeight="1" x14ac:dyDescent="0.25">
      <c r="A620" s="275"/>
      <c r="B620" s="293"/>
      <c r="C620" s="299" t="s">
        <v>454</v>
      </c>
      <c r="D620" s="300"/>
      <c r="E620" s="258">
        <v>6</v>
      </c>
      <c r="F620" s="8" t="s">
        <v>96</v>
      </c>
      <c r="G620" s="37"/>
      <c r="H620" s="29"/>
    </row>
    <row r="621" spans="1:8" x14ac:dyDescent="0.25">
      <c r="A621" s="275"/>
      <c r="B621" s="293"/>
      <c r="C621" s="299" t="s">
        <v>455</v>
      </c>
      <c r="D621" s="300"/>
      <c r="E621" s="258">
        <v>18</v>
      </c>
      <c r="F621" s="8" t="s">
        <v>96</v>
      </c>
      <c r="G621" s="37"/>
      <c r="H621" s="29"/>
    </row>
    <row r="622" spans="1:8" x14ac:dyDescent="0.25">
      <c r="A622" s="275"/>
      <c r="B622" s="293"/>
      <c r="C622" s="299" t="s">
        <v>456</v>
      </c>
      <c r="D622" s="300"/>
      <c r="E622" s="55">
        <f>IF(E621&gt;0,E620/E621,0)</f>
        <v>0.33333333333333331</v>
      </c>
      <c r="G622" s="37"/>
      <c r="H622" s="29"/>
    </row>
    <row r="623" spans="1:8" ht="14.45" hidden="1" customHeight="1" x14ac:dyDescent="0.25">
      <c r="A623" s="275"/>
      <c r="B623" s="293"/>
      <c r="C623" s="119" t="s">
        <v>154</v>
      </c>
      <c r="D623" s="149">
        <v>0.25</v>
      </c>
      <c r="E623" s="148"/>
      <c r="G623" s="43"/>
      <c r="H623" s="29"/>
    </row>
    <row r="624" spans="1:8" ht="15" customHeight="1" x14ac:dyDescent="0.25">
      <c r="A624" s="276"/>
      <c r="B624" s="294"/>
      <c r="C624" s="283" t="s">
        <v>36</v>
      </c>
      <c r="D624" s="324"/>
      <c r="E624" s="25">
        <f>IF(E622&gt;=D623,4,2+2/D623*E622)</f>
        <v>4</v>
      </c>
      <c r="H624" s="29"/>
    </row>
    <row r="625" spans="1:8" ht="15" customHeight="1" x14ac:dyDescent="0.25">
      <c r="C625" s="39"/>
      <c r="D625" s="67"/>
      <c r="H625" s="39"/>
    </row>
    <row r="626" spans="1:8" ht="45" hidden="1" customHeight="1" x14ac:dyDescent="0.25">
      <c r="A626" s="309"/>
      <c r="B626" s="301"/>
      <c r="C626" s="304"/>
      <c r="D626" s="304"/>
      <c r="E626" s="111"/>
      <c r="H626" s="202"/>
    </row>
    <row r="627" spans="1:8" ht="31.5" hidden="1" customHeight="1" x14ac:dyDescent="0.25">
      <c r="A627" s="310"/>
      <c r="B627" s="302"/>
      <c r="C627" s="305"/>
      <c r="D627" s="306"/>
      <c r="E627" s="112"/>
      <c r="G627" s="37"/>
      <c r="H627" s="29"/>
    </row>
    <row r="628" spans="1:8" ht="15" hidden="1" customHeight="1" x14ac:dyDescent="0.25">
      <c r="A628" s="310"/>
      <c r="B628" s="302"/>
      <c r="C628" s="305"/>
      <c r="D628" s="306"/>
      <c r="E628" s="112"/>
      <c r="G628" s="37"/>
      <c r="H628" s="29"/>
    </row>
    <row r="629" spans="1:8" ht="15" hidden="1" customHeight="1" x14ac:dyDescent="0.25">
      <c r="A629" s="310"/>
      <c r="B629" s="302"/>
      <c r="C629" s="305"/>
      <c r="D629" s="306"/>
      <c r="E629" s="182"/>
      <c r="G629" s="37"/>
      <c r="H629" s="29"/>
    </row>
    <row r="630" spans="1:8" ht="15" hidden="1" customHeight="1" x14ac:dyDescent="0.25">
      <c r="A630" s="310"/>
      <c r="B630" s="302"/>
      <c r="C630" s="119"/>
      <c r="D630" s="149"/>
      <c r="E630" s="148"/>
      <c r="G630" s="43"/>
      <c r="H630" s="29"/>
    </row>
    <row r="631" spans="1:8" ht="15" hidden="1" customHeight="1" x14ac:dyDescent="0.25">
      <c r="A631" s="311"/>
      <c r="B631" s="303"/>
      <c r="C631" s="307"/>
      <c r="D631" s="308"/>
      <c r="E631" s="113"/>
      <c r="H631" s="29"/>
    </row>
    <row r="632" spans="1:8" ht="15" hidden="1" customHeight="1" x14ac:dyDescent="0.25">
      <c r="C632" s="39"/>
      <c r="D632" s="67"/>
      <c r="H632" s="39"/>
    </row>
    <row r="633" spans="1:8" ht="148.5" customHeight="1" x14ac:dyDescent="0.25">
      <c r="A633" s="274">
        <v>50</v>
      </c>
      <c r="B633" s="322" t="s">
        <v>457</v>
      </c>
      <c r="C633" s="320" t="s">
        <v>458</v>
      </c>
      <c r="D633" s="321"/>
      <c r="E633" s="21">
        <v>1</v>
      </c>
      <c r="F633" s="8" t="str">
        <f>IF(OR(ISBLANK(E633),E633&gt;4),"Salah isi","judge")</f>
        <v>judge</v>
      </c>
      <c r="H633" s="202" t="s">
        <v>755</v>
      </c>
    </row>
    <row r="634" spans="1:8" x14ac:dyDescent="0.25">
      <c r="A634" s="275"/>
      <c r="B634" s="293"/>
      <c r="C634" s="30">
        <v>4</v>
      </c>
      <c r="D634" s="60" t="s">
        <v>459</v>
      </c>
      <c r="E634" s="31"/>
      <c r="H634" s="29"/>
    </row>
    <row r="635" spans="1:8" ht="29.1" customHeight="1" x14ac:dyDescent="0.25">
      <c r="A635" s="275"/>
      <c r="B635" s="293"/>
      <c r="C635" s="30">
        <v>3</v>
      </c>
      <c r="D635" s="60" t="s">
        <v>460</v>
      </c>
      <c r="E635" s="31"/>
      <c r="H635" s="29"/>
    </row>
    <row r="636" spans="1:8" ht="29.1" customHeight="1" x14ac:dyDescent="0.25">
      <c r="A636" s="275"/>
      <c r="B636" s="293"/>
      <c r="C636" s="30">
        <v>2</v>
      </c>
      <c r="D636" s="60" t="s">
        <v>461</v>
      </c>
      <c r="E636" s="31"/>
      <c r="H636" s="29"/>
    </row>
    <row r="637" spans="1:8" ht="29.1" customHeight="1" x14ac:dyDescent="0.25">
      <c r="A637" s="275"/>
      <c r="B637" s="293"/>
      <c r="C637" s="30">
        <v>1</v>
      </c>
      <c r="D637" s="60" t="s">
        <v>462</v>
      </c>
      <c r="E637" s="31"/>
      <c r="H637" s="29"/>
    </row>
    <row r="638" spans="1:8" x14ac:dyDescent="0.25">
      <c r="A638" s="275"/>
      <c r="B638" s="293"/>
      <c r="C638" s="30">
        <v>0</v>
      </c>
      <c r="D638" s="60" t="s">
        <v>463</v>
      </c>
      <c r="E638" s="32"/>
      <c r="H638" s="29"/>
    </row>
    <row r="639" spans="1:8" ht="15" customHeight="1" x14ac:dyDescent="0.25">
      <c r="A639" s="276"/>
      <c r="B639" s="294"/>
      <c r="C639" s="289" t="s">
        <v>36</v>
      </c>
      <c r="D639" s="326"/>
      <c r="E639" s="25">
        <f>IF(F633="Salah isi",0,E633)</f>
        <v>1</v>
      </c>
      <c r="H639" s="29"/>
    </row>
    <row r="640" spans="1:8" ht="15" customHeight="1" x14ac:dyDescent="0.25">
      <c r="A640" s="26"/>
      <c r="B640" s="26"/>
      <c r="C640" s="27"/>
      <c r="D640" s="62"/>
      <c r="E640" s="28"/>
      <c r="H640" s="29"/>
    </row>
    <row r="641" spans="1:8" ht="50.1" customHeight="1" x14ac:dyDescent="0.25">
      <c r="A641" s="274">
        <v>51</v>
      </c>
      <c r="B641" s="322" t="s">
        <v>464</v>
      </c>
      <c r="C641" s="323" t="s">
        <v>465</v>
      </c>
      <c r="D641" s="323"/>
      <c r="E641" s="46"/>
      <c r="H641" s="202" t="s">
        <v>725</v>
      </c>
    </row>
    <row r="642" spans="1:8" ht="35.450000000000003" customHeight="1" x14ac:dyDescent="0.25">
      <c r="A642" s="275"/>
      <c r="B642" s="293"/>
      <c r="C642" s="299" t="s">
        <v>466</v>
      </c>
      <c r="D642" s="300"/>
      <c r="E642" s="258">
        <v>9</v>
      </c>
      <c r="F642" s="8" t="s">
        <v>96</v>
      </c>
      <c r="G642" s="37"/>
      <c r="H642" s="29"/>
    </row>
    <row r="643" spans="1:8" ht="15" customHeight="1" x14ac:dyDescent="0.25">
      <c r="A643" s="275"/>
      <c r="B643" s="293"/>
      <c r="C643" s="299" t="s">
        <v>467</v>
      </c>
      <c r="D643" s="300"/>
      <c r="E643" s="258">
        <v>12</v>
      </c>
      <c r="F643" s="8" t="s">
        <v>96</v>
      </c>
      <c r="G643" s="37"/>
      <c r="H643" s="29"/>
    </row>
    <row r="644" spans="1:8" ht="15" customHeight="1" x14ac:dyDescent="0.25">
      <c r="A644" s="275"/>
      <c r="B644" s="293"/>
      <c r="C644" s="299" t="s">
        <v>468</v>
      </c>
      <c r="D644" s="300"/>
      <c r="E644" s="55">
        <f>IF(E643&gt;0,E642/E643,0)</f>
        <v>0.75</v>
      </c>
      <c r="G644" s="43"/>
      <c r="H644" s="29"/>
    </row>
    <row r="645" spans="1:8" ht="14.45" hidden="1" customHeight="1" x14ac:dyDescent="0.25">
      <c r="A645" s="275"/>
      <c r="B645" s="293"/>
      <c r="C645" s="119" t="s">
        <v>154</v>
      </c>
      <c r="D645" s="149">
        <v>0.25</v>
      </c>
      <c r="E645" s="148"/>
      <c r="G645" s="43"/>
      <c r="H645" s="29"/>
    </row>
    <row r="646" spans="1:8" ht="15" customHeight="1" x14ac:dyDescent="0.25">
      <c r="A646" s="276"/>
      <c r="B646" s="294"/>
      <c r="C646" s="283" t="s">
        <v>36</v>
      </c>
      <c r="D646" s="324"/>
      <c r="E646" s="25">
        <f>IF(E644&gt;=D645,4,2+2/D645*E644)</f>
        <v>4</v>
      </c>
      <c r="H646" s="29"/>
    </row>
    <row r="647" spans="1:8" ht="15" customHeight="1" x14ac:dyDescent="0.25">
      <c r="C647" s="39"/>
      <c r="D647" s="67"/>
      <c r="H647" s="39"/>
    </row>
    <row r="648" spans="1:8" ht="95.1" customHeight="1" x14ac:dyDescent="0.25">
      <c r="A648" s="274">
        <v>52</v>
      </c>
      <c r="B648" s="322" t="s">
        <v>469</v>
      </c>
      <c r="C648" s="320" t="s">
        <v>470</v>
      </c>
      <c r="D648" s="321"/>
      <c r="E648" s="21">
        <v>3</v>
      </c>
      <c r="F648" s="8" t="str">
        <f>IF(OR(ISBLANK(E648),E648&gt;4),"Salah isi","judge")</f>
        <v>judge</v>
      </c>
      <c r="H648" s="202" t="s">
        <v>726</v>
      </c>
    </row>
    <row r="649" spans="1:8" x14ac:dyDescent="0.25">
      <c r="A649" s="275"/>
      <c r="B649" s="293"/>
      <c r="C649" s="22">
        <v>4</v>
      </c>
      <c r="D649" s="60" t="s">
        <v>471</v>
      </c>
      <c r="E649" s="23"/>
      <c r="H649" s="29"/>
    </row>
    <row r="650" spans="1:8" x14ac:dyDescent="0.25">
      <c r="A650" s="275"/>
      <c r="B650" s="293"/>
      <c r="C650" s="22">
        <v>3</v>
      </c>
      <c r="D650" s="60" t="s">
        <v>472</v>
      </c>
      <c r="E650" s="23"/>
      <c r="H650" s="29"/>
    </row>
    <row r="651" spans="1:8" x14ac:dyDescent="0.25">
      <c r="A651" s="275"/>
      <c r="B651" s="293"/>
      <c r="C651" s="22">
        <v>2</v>
      </c>
      <c r="D651" s="60" t="s">
        <v>473</v>
      </c>
      <c r="E651" s="23"/>
      <c r="H651" s="29" t="s">
        <v>764</v>
      </c>
    </row>
    <row r="652" spans="1:8" ht="30" x14ac:dyDescent="0.25">
      <c r="A652" s="275"/>
      <c r="B652" s="293"/>
      <c r="C652" s="22">
        <v>1</v>
      </c>
      <c r="D652" s="60" t="s">
        <v>474</v>
      </c>
      <c r="E652" s="23"/>
      <c r="H652" s="29"/>
    </row>
    <row r="653" spans="1:8" x14ac:dyDescent="0.25">
      <c r="A653" s="275"/>
      <c r="B653" s="293"/>
      <c r="C653" s="22">
        <v>0</v>
      </c>
      <c r="D653" s="60" t="s">
        <v>475</v>
      </c>
      <c r="E653" s="24"/>
      <c r="H653" s="29"/>
    </row>
    <row r="654" spans="1:8" ht="15" customHeight="1" x14ac:dyDescent="0.25">
      <c r="A654" s="276"/>
      <c r="B654" s="294"/>
      <c r="C654" s="289" t="s">
        <v>36</v>
      </c>
      <c r="D654" s="290"/>
      <c r="E654" s="25">
        <f>IF(F648="Salah isi",0,E648)</f>
        <v>3</v>
      </c>
      <c r="H654" s="29"/>
    </row>
    <row r="655" spans="1:8" ht="15" customHeight="1" x14ac:dyDescent="0.25">
      <c r="A655" s="26"/>
      <c r="B655" s="26"/>
      <c r="C655" s="27"/>
      <c r="D655" s="62"/>
      <c r="E655" s="28"/>
      <c r="H655" s="29"/>
    </row>
    <row r="656" spans="1:8" ht="41.45" customHeight="1" x14ac:dyDescent="0.25">
      <c r="A656" s="274">
        <v>53</v>
      </c>
      <c r="B656" s="322"/>
      <c r="C656" s="320" t="s">
        <v>476</v>
      </c>
      <c r="D656" s="321"/>
      <c r="E656" s="46"/>
      <c r="H656" s="202" t="s">
        <v>727</v>
      </c>
    </row>
    <row r="657" spans="1:8" ht="14.45" customHeight="1" x14ac:dyDescent="0.25">
      <c r="A657" s="275"/>
      <c r="B657" s="293"/>
      <c r="C657" s="328" t="s">
        <v>477</v>
      </c>
      <c r="D657" s="329"/>
      <c r="E657" s="261">
        <v>21</v>
      </c>
      <c r="F657" s="8" t="s">
        <v>96</v>
      </c>
      <c r="H657" s="29"/>
    </row>
    <row r="658" spans="1:8" ht="14.25" customHeight="1" x14ac:dyDescent="0.25">
      <c r="A658" s="275"/>
      <c r="B658" s="293"/>
      <c r="C658" s="328" t="s">
        <v>478</v>
      </c>
      <c r="D658" s="329"/>
      <c r="E658" s="261">
        <v>32</v>
      </c>
      <c r="F658" s="8" t="s">
        <v>96</v>
      </c>
      <c r="H658" s="29"/>
    </row>
    <row r="659" spans="1:8" ht="14.45" customHeight="1" x14ac:dyDescent="0.25">
      <c r="A659" s="275"/>
      <c r="B659" s="293"/>
      <c r="C659" s="328" t="s">
        <v>479</v>
      </c>
      <c r="D659" s="329"/>
      <c r="E659" s="261"/>
      <c r="F659" s="8" t="s">
        <v>96</v>
      </c>
      <c r="H659" s="29"/>
    </row>
    <row r="660" spans="1:8" ht="14.45" customHeight="1" x14ac:dyDescent="0.25">
      <c r="A660" s="275"/>
      <c r="B660" s="293"/>
      <c r="C660" s="328" t="s">
        <v>480</v>
      </c>
      <c r="D660" s="329"/>
      <c r="E660" s="261">
        <v>3.52</v>
      </c>
      <c r="F660" s="8" t="s">
        <v>96</v>
      </c>
      <c r="H660" s="29"/>
    </row>
    <row r="661" spans="1:8" ht="14.45" customHeight="1" x14ac:dyDescent="0.25">
      <c r="A661" s="275"/>
      <c r="B661" s="293"/>
      <c r="C661" s="328" t="s">
        <v>481</v>
      </c>
      <c r="D661" s="329"/>
      <c r="E661" s="261">
        <v>3.52</v>
      </c>
      <c r="F661" s="8" t="s">
        <v>96</v>
      </c>
      <c r="H661" s="29"/>
    </row>
    <row r="662" spans="1:8" ht="14.45" customHeight="1" x14ac:dyDescent="0.25">
      <c r="A662" s="275"/>
      <c r="B662" s="293"/>
      <c r="C662" s="328" t="s">
        <v>482</v>
      </c>
      <c r="D662" s="329"/>
      <c r="E662" s="261"/>
      <c r="F662" s="8" t="s">
        <v>96</v>
      </c>
      <c r="H662" s="29"/>
    </row>
    <row r="663" spans="1:8" ht="14.45" customHeight="1" x14ac:dyDescent="0.25">
      <c r="A663" s="275"/>
      <c r="B663" s="293"/>
      <c r="C663" s="158" t="s">
        <v>483</v>
      </c>
      <c r="D663" s="156"/>
      <c r="E663" s="157">
        <f>IF(SUM(E657:E659)&gt;0,(E657*E660+E658*E661+E659*E662)/SUM(E657:E659),0)</f>
        <v>3.52</v>
      </c>
      <c r="H663" s="29"/>
    </row>
    <row r="664" spans="1:8" ht="14.45" hidden="1" customHeight="1" x14ac:dyDescent="0.25">
      <c r="A664" s="275"/>
      <c r="B664" s="293"/>
      <c r="C664" s="159" t="s">
        <v>187</v>
      </c>
      <c r="D664" s="161">
        <v>2</v>
      </c>
      <c r="E664" s="160"/>
      <c r="H664" s="29"/>
    </row>
    <row r="665" spans="1:8" ht="14.45" hidden="1" customHeight="1" x14ac:dyDescent="0.25">
      <c r="A665" s="275"/>
      <c r="B665" s="293"/>
      <c r="C665" s="159" t="s">
        <v>188</v>
      </c>
      <c r="D665" s="161">
        <v>3.25</v>
      </c>
      <c r="E665" s="160"/>
      <c r="H665" s="29"/>
    </row>
    <row r="666" spans="1:8" ht="15" customHeight="1" x14ac:dyDescent="0.25">
      <c r="A666" s="276"/>
      <c r="B666" s="294"/>
      <c r="C666" s="289" t="s">
        <v>36</v>
      </c>
      <c r="D666" s="290"/>
      <c r="E666" s="25">
        <f>IF(E663&gt;=D665,4,IF(E663&gt;=D664,2/(D665-D664)*(E663-D664)+2,0))</f>
        <v>4</v>
      </c>
      <c r="H666" s="29"/>
    </row>
    <row r="667" spans="1:8" ht="15" customHeight="1" x14ac:dyDescent="0.25">
      <c r="A667" s="48"/>
      <c r="B667" s="48"/>
      <c r="C667" s="39"/>
      <c r="D667" s="67"/>
      <c r="H667" s="40"/>
    </row>
    <row r="668" spans="1:8" ht="47.25" customHeight="1" x14ac:dyDescent="0.25">
      <c r="A668" s="274">
        <v>54</v>
      </c>
      <c r="B668" s="322"/>
      <c r="C668" s="323" t="s">
        <v>484</v>
      </c>
      <c r="D668" s="323"/>
      <c r="E668" s="46"/>
      <c r="H668" s="202" t="s">
        <v>728</v>
      </c>
    </row>
    <row r="669" spans="1:8" x14ac:dyDescent="0.25">
      <c r="A669" s="275"/>
      <c r="B669" s="293"/>
      <c r="C669" s="299" t="s">
        <v>485</v>
      </c>
      <c r="D669" s="300"/>
      <c r="E669" s="258">
        <v>0</v>
      </c>
      <c r="F669" s="8" t="s">
        <v>96</v>
      </c>
      <c r="G669" s="37"/>
      <c r="H669" s="29"/>
    </row>
    <row r="670" spans="1:8" x14ac:dyDescent="0.25">
      <c r="A670" s="275"/>
      <c r="B670" s="293"/>
      <c r="C670" s="299" t="s">
        <v>486</v>
      </c>
      <c r="D670" s="300"/>
      <c r="E670" s="258">
        <v>0</v>
      </c>
      <c r="F670" s="8" t="s">
        <v>96</v>
      </c>
      <c r="G670" s="37"/>
      <c r="H670" s="29"/>
    </row>
    <row r="671" spans="1:8" x14ac:dyDescent="0.25">
      <c r="A671" s="275"/>
      <c r="B671" s="293"/>
      <c r="C671" s="299" t="s">
        <v>487</v>
      </c>
      <c r="D671" s="300"/>
      <c r="E671" s="258">
        <v>5</v>
      </c>
      <c r="F671" s="8" t="s">
        <v>96</v>
      </c>
      <c r="G671" s="37"/>
      <c r="H671" s="29"/>
    </row>
    <row r="672" spans="1:8" ht="15.75" customHeight="1" x14ac:dyDescent="0.25">
      <c r="A672" s="275"/>
      <c r="B672" s="293"/>
      <c r="C672" s="299" t="s">
        <v>203</v>
      </c>
      <c r="D672" s="300"/>
      <c r="E672" s="258">
        <v>11</v>
      </c>
      <c r="F672" s="8" t="s">
        <v>96</v>
      </c>
      <c r="G672" s="37"/>
      <c r="H672" s="29"/>
    </row>
    <row r="673" spans="1:8" x14ac:dyDescent="0.25">
      <c r="A673" s="275"/>
      <c r="B673" s="293"/>
      <c r="C673" s="299" t="s">
        <v>488</v>
      </c>
      <c r="D673" s="300"/>
      <c r="E673" s="53">
        <f>IF(E672&gt;0,E669/E672,0)</f>
        <v>0</v>
      </c>
      <c r="G673" s="41"/>
      <c r="H673" s="29"/>
    </row>
    <row r="674" spans="1:8" ht="15.75" customHeight="1" x14ac:dyDescent="0.25">
      <c r="A674" s="275"/>
      <c r="B674" s="293"/>
      <c r="C674" s="299" t="s">
        <v>489</v>
      </c>
      <c r="D674" s="300"/>
      <c r="E674" s="53">
        <f>IF(E672&gt;0,E670/E672,0)</f>
        <v>0</v>
      </c>
      <c r="G674" s="41"/>
      <c r="H674" s="29"/>
    </row>
    <row r="675" spans="1:8" ht="15.75" customHeight="1" x14ac:dyDescent="0.25">
      <c r="A675" s="275"/>
      <c r="B675" s="293"/>
      <c r="C675" s="299" t="s">
        <v>490</v>
      </c>
      <c r="D675" s="300"/>
      <c r="E675" s="53">
        <f>IF(E672&gt;0,E671/E672,0)</f>
        <v>0.45454545454545453</v>
      </c>
      <c r="G675" s="41"/>
      <c r="H675" s="29"/>
    </row>
    <row r="676" spans="1:8" ht="15.75" hidden="1" customHeight="1" x14ac:dyDescent="0.25">
      <c r="A676" s="275"/>
      <c r="B676" s="293"/>
      <c r="C676" s="139" t="s">
        <v>101</v>
      </c>
      <c r="D676" s="118">
        <v>1E-3</v>
      </c>
      <c r="E676" s="117"/>
      <c r="G676" s="41"/>
      <c r="H676" s="29"/>
    </row>
    <row r="677" spans="1:8" ht="15.75" hidden="1" customHeight="1" x14ac:dyDescent="0.25">
      <c r="A677" s="275"/>
      <c r="B677" s="293"/>
      <c r="C677" s="139" t="s">
        <v>102</v>
      </c>
      <c r="D677" s="118">
        <v>0.01</v>
      </c>
      <c r="E677" s="117"/>
      <c r="G677" s="41"/>
      <c r="H677" s="29"/>
    </row>
    <row r="678" spans="1:8" ht="15.75" hidden="1" customHeight="1" x14ac:dyDescent="0.25">
      <c r="A678" s="275"/>
      <c r="B678" s="293"/>
      <c r="C678" s="139" t="s">
        <v>103</v>
      </c>
      <c r="D678" s="118">
        <v>0.02</v>
      </c>
      <c r="E678" s="117"/>
      <c r="G678" s="41"/>
      <c r="H678" s="29"/>
    </row>
    <row r="679" spans="1:8" ht="15.75" hidden="1" customHeight="1" x14ac:dyDescent="0.25">
      <c r="A679" s="275"/>
      <c r="B679" s="293"/>
      <c r="C679" s="119"/>
      <c r="D679" s="120" t="s">
        <v>234</v>
      </c>
      <c r="E679" s="121" t="str">
        <f>IF(E673&gt;=D676,"YES","NO")</f>
        <v>NO</v>
      </c>
      <c r="G679" s="41"/>
      <c r="H679" s="29"/>
    </row>
    <row r="680" spans="1:8" ht="15.75" hidden="1" customHeight="1" x14ac:dyDescent="0.25">
      <c r="A680" s="275"/>
      <c r="B680" s="293"/>
      <c r="C680" s="119"/>
      <c r="D680" s="120" t="s">
        <v>235</v>
      </c>
      <c r="E680" s="121" t="str">
        <f>IF(AND(E673&lt;D676,E674&gt;=D677),"YES","NO")</f>
        <v>NO</v>
      </c>
      <c r="G680" s="41"/>
      <c r="H680" s="29"/>
    </row>
    <row r="681" spans="1:8" ht="15.75" hidden="1" customHeight="1" x14ac:dyDescent="0.25">
      <c r="A681" s="275"/>
      <c r="B681" s="293"/>
      <c r="C681" s="119"/>
      <c r="D681" s="120" t="s">
        <v>236</v>
      </c>
      <c r="E681" s="121" t="str">
        <f>IF(OR(AND(E673&gt;0,E673&lt;D676,E674=0),AND(E674&gt;0,E674&lt;D677,E673=0),AND(E673&gt;0,E673&lt;D676,E674&gt;0,E674&lt;D677)),"YES","NO")</f>
        <v>NO</v>
      </c>
      <c r="G681" s="41"/>
      <c r="H681" s="29"/>
    </row>
    <row r="682" spans="1:8" ht="15.75" hidden="1" customHeight="1" x14ac:dyDescent="0.25">
      <c r="A682" s="275"/>
      <c r="B682" s="293"/>
      <c r="C682" s="119"/>
      <c r="D682" s="120" t="s">
        <v>491</v>
      </c>
      <c r="E682" s="121" t="str">
        <f>IF(AND(E673=0,E674=0,E675&gt;=D678),"YES","NO")</f>
        <v>YES</v>
      </c>
      <c r="G682" s="41"/>
      <c r="H682" s="29"/>
    </row>
    <row r="683" spans="1:8" ht="15.75" hidden="1" customHeight="1" x14ac:dyDescent="0.25">
      <c r="A683" s="275"/>
      <c r="B683" s="293"/>
      <c r="C683" s="119"/>
      <c r="D683" s="120" t="s">
        <v>492</v>
      </c>
      <c r="E683" s="121" t="str">
        <f>IF(AND(E673=0,E674=0,E675&lt;D678),"YES","NO")</f>
        <v>NO</v>
      </c>
      <c r="G683" s="41"/>
      <c r="H683" s="29"/>
    </row>
    <row r="684" spans="1:8" ht="15" customHeight="1" x14ac:dyDescent="0.25">
      <c r="A684" s="276"/>
      <c r="B684" s="294"/>
      <c r="C684" s="283" t="s">
        <v>36</v>
      </c>
      <c r="D684" s="324"/>
      <c r="E684" s="25">
        <f>IF(E679="YES",4,IF(E680="YES",3+E673/D676,IF(E681="YES",2+2*E673/D676+E674/D677-(E673*E674)/(D676*D677),IF(E682="YES",2,2*E675/D678))))</f>
        <v>2</v>
      </c>
      <c r="G684" s="38"/>
      <c r="H684" s="29"/>
    </row>
    <row r="685" spans="1:8" ht="15" customHeight="1" x14ac:dyDescent="0.25">
      <c r="C685" s="39"/>
      <c r="D685" s="67"/>
      <c r="H685" s="40"/>
    </row>
    <row r="686" spans="1:8" ht="47.25" customHeight="1" x14ac:dyDescent="0.25">
      <c r="A686" s="274">
        <v>55</v>
      </c>
      <c r="B686" s="322"/>
      <c r="C686" s="323" t="s">
        <v>493</v>
      </c>
      <c r="D686" s="323"/>
      <c r="E686" s="46"/>
      <c r="H686" s="202" t="s">
        <v>729</v>
      </c>
    </row>
    <row r="687" spans="1:8" ht="15" customHeight="1" x14ac:dyDescent="0.25">
      <c r="A687" s="275"/>
      <c r="B687" s="293"/>
      <c r="C687" s="299" t="s">
        <v>494</v>
      </c>
      <c r="D687" s="300"/>
      <c r="E687" s="258">
        <v>0</v>
      </c>
      <c r="F687" s="8" t="s">
        <v>96</v>
      </c>
      <c r="G687" s="37"/>
      <c r="H687" s="29"/>
    </row>
    <row r="688" spans="1:8" ht="15" customHeight="1" x14ac:dyDescent="0.25">
      <c r="A688" s="275"/>
      <c r="B688" s="293"/>
      <c r="C688" s="299" t="s">
        <v>495</v>
      </c>
      <c r="D688" s="300"/>
      <c r="E688" s="258">
        <v>0</v>
      </c>
      <c r="F688" s="8" t="s">
        <v>96</v>
      </c>
      <c r="G688" s="37"/>
      <c r="H688" s="29"/>
    </row>
    <row r="689" spans="1:8" ht="15" customHeight="1" x14ac:dyDescent="0.25">
      <c r="A689" s="275"/>
      <c r="B689" s="293"/>
      <c r="C689" s="299" t="s">
        <v>496</v>
      </c>
      <c r="D689" s="300"/>
      <c r="E689" s="258">
        <v>4</v>
      </c>
      <c r="F689" s="8" t="s">
        <v>96</v>
      </c>
      <c r="G689" s="37"/>
      <c r="H689" s="29"/>
    </row>
    <row r="690" spans="1:8" ht="15.75" customHeight="1" x14ac:dyDescent="0.25">
      <c r="A690" s="275"/>
      <c r="B690" s="293"/>
      <c r="C690" s="299" t="s">
        <v>203</v>
      </c>
      <c r="D690" s="300"/>
      <c r="E690" s="258">
        <v>11</v>
      </c>
      <c r="F690" s="8" t="s">
        <v>96</v>
      </c>
      <c r="G690" s="37"/>
      <c r="H690" s="29"/>
    </row>
    <row r="691" spans="1:8" ht="15" customHeight="1" x14ac:dyDescent="0.25">
      <c r="A691" s="275"/>
      <c r="B691" s="293"/>
      <c r="C691" s="299" t="s">
        <v>488</v>
      </c>
      <c r="D691" s="300"/>
      <c r="E691" s="53">
        <f>IF(E690&gt;0,E687/E690,0)</f>
        <v>0</v>
      </c>
      <c r="G691" s="41"/>
      <c r="H691" s="29"/>
    </row>
    <row r="692" spans="1:8" ht="15.75" customHeight="1" x14ac:dyDescent="0.25">
      <c r="A692" s="275"/>
      <c r="B692" s="293"/>
      <c r="C692" s="299" t="s">
        <v>489</v>
      </c>
      <c r="D692" s="300"/>
      <c r="E692" s="53">
        <f>IF(E690&gt;0,E688/E690,0)</f>
        <v>0</v>
      </c>
      <c r="G692" s="41"/>
      <c r="H692" s="29"/>
    </row>
    <row r="693" spans="1:8" ht="15.75" customHeight="1" x14ac:dyDescent="0.25">
      <c r="A693" s="275"/>
      <c r="B693" s="293"/>
      <c r="C693" s="299" t="s">
        <v>490</v>
      </c>
      <c r="D693" s="300"/>
      <c r="E693" s="53">
        <f>IF(E690&gt;0,E689/E690,0)</f>
        <v>0.36363636363636365</v>
      </c>
      <c r="G693" s="41"/>
      <c r="H693" s="29"/>
    </row>
    <row r="694" spans="1:8" ht="15.6" hidden="1" customHeight="1" x14ac:dyDescent="0.25">
      <c r="A694" s="275"/>
      <c r="B694" s="293"/>
      <c r="C694" s="139" t="s">
        <v>101</v>
      </c>
      <c r="D694" s="118">
        <v>2E-3</v>
      </c>
      <c r="E694" s="117"/>
      <c r="G694" s="41"/>
      <c r="H694" s="29"/>
    </row>
    <row r="695" spans="1:8" ht="15.75" hidden="1" customHeight="1" x14ac:dyDescent="0.25">
      <c r="A695" s="275"/>
      <c r="B695" s="293"/>
      <c r="C695" s="139" t="s">
        <v>102</v>
      </c>
      <c r="D695" s="118">
        <v>0.02</v>
      </c>
      <c r="E695" s="117"/>
      <c r="G695" s="41"/>
      <c r="H695" s="29"/>
    </row>
    <row r="696" spans="1:8" ht="15.75" hidden="1" customHeight="1" x14ac:dyDescent="0.25">
      <c r="A696" s="275"/>
      <c r="B696" s="293"/>
      <c r="C696" s="139" t="s">
        <v>103</v>
      </c>
      <c r="D696" s="118">
        <v>0.04</v>
      </c>
      <c r="E696" s="117"/>
      <c r="G696" s="41"/>
      <c r="H696" s="29"/>
    </row>
    <row r="697" spans="1:8" ht="15.75" hidden="1" customHeight="1" x14ac:dyDescent="0.25">
      <c r="A697" s="275"/>
      <c r="B697" s="293"/>
      <c r="C697" s="119"/>
      <c r="D697" s="120" t="s">
        <v>234</v>
      </c>
      <c r="E697" s="121" t="str">
        <f>IF(E691&gt;=D694,"YES","NO")</f>
        <v>NO</v>
      </c>
      <c r="G697" s="41"/>
      <c r="H697" s="29"/>
    </row>
    <row r="698" spans="1:8" ht="15.75" hidden="1" customHeight="1" x14ac:dyDescent="0.25">
      <c r="A698" s="275"/>
      <c r="B698" s="293"/>
      <c r="C698" s="119"/>
      <c r="D698" s="120" t="s">
        <v>235</v>
      </c>
      <c r="E698" s="121" t="str">
        <f>IF(AND(E691&lt;D694,E692&gt;=D695),"YES","NO")</f>
        <v>NO</v>
      </c>
      <c r="G698" s="41"/>
      <c r="H698" s="29"/>
    </row>
    <row r="699" spans="1:8" ht="15.75" hidden="1" customHeight="1" x14ac:dyDescent="0.25">
      <c r="A699" s="275"/>
      <c r="B699" s="293"/>
      <c r="C699" s="119"/>
      <c r="D699" s="120" t="s">
        <v>236</v>
      </c>
      <c r="E699" s="121" t="str">
        <f>IF(OR(AND(E691&gt;0,E691&lt;D694,E692=0),AND(E692&gt;0,E692&lt;D695,E691=0),AND(E691&gt;0,E691&lt;D694,E692&gt;0,E692&lt;D695)),"YES","NO")</f>
        <v>NO</v>
      </c>
      <c r="G699" s="41"/>
      <c r="H699" s="29"/>
    </row>
    <row r="700" spans="1:8" ht="15.75" hidden="1" customHeight="1" x14ac:dyDescent="0.25">
      <c r="A700" s="275"/>
      <c r="B700" s="293"/>
      <c r="C700" s="119"/>
      <c r="D700" s="120" t="s">
        <v>491</v>
      </c>
      <c r="E700" s="121" t="str">
        <f>IF(AND(E691=0,E692=0,E693&gt;=D696),"YES","NO")</f>
        <v>YES</v>
      </c>
      <c r="G700" s="41"/>
      <c r="H700" s="29"/>
    </row>
    <row r="701" spans="1:8" ht="15.75" hidden="1" customHeight="1" x14ac:dyDescent="0.25">
      <c r="A701" s="275"/>
      <c r="B701" s="293"/>
      <c r="C701" s="119"/>
      <c r="D701" s="120" t="s">
        <v>492</v>
      </c>
      <c r="E701" s="121" t="str">
        <f>IF(AND(E691=0,E692=0,E693&lt;D696),"YES","NO")</f>
        <v>NO</v>
      </c>
      <c r="G701" s="41"/>
      <c r="H701" s="29"/>
    </row>
    <row r="702" spans="1:8" ht="15" customHeight="1" x14ac:dyDescent="0.25">
      <c r="A702" s="276"/>
      <c r="B702" s="294"/>
      <c r="C702" s="283" t="s">
        <v>36</v>
      </c>
      <c r="D702" s="324"/>
      <c r="E702" s="25">
        <f>IF(E697="YES",4,IF(E698="YES",3+E691/D694,IF(E699="YES",2+2*E691/D694+E692/D695-(E691*E692)/(D694*D695),IF(E700="YES",2,2*E693/D696))))</f>
        <v>2</v>
      </c>
      <c r="G702" s="38"/>
      <c r="H702" s="29"/>
    </row>
    <row r="703" spans="1:8" ht="15" customHeight="1" x14ac:dyDescent="0.25">
      <c r="C703" s="39"/>
      <c r="D703" s="67"/>
      <c r="H703" s="40"/>
    </row>
    <row r="704" spans="1:8" ht="40.5" customHeight="1" x14ac:dyDescent="0.25">
      <c r="A704" s="274">
        <v>56</v>
      </c>
      <c r="B704" s="322"/>
      <c r="C704" s="320" t="s">
        <v>497</v>
      </c>
      <c r="D704" s="321"/>
      <c r="E704" s="36"/>
      <c r="H704" s="202" t="s">
        <v>730</v>
      </c>
    </row>
    <row r="705" spans="1:8" ht="15" customHeight="1" x14ac:dyDescent="0.25">
      <c r="A705" s="275"/>
      <c r="B705" s="293"/>
      <c r="C705" s="328" t="s">
        <v>498</v>
      </c>
      <c r="D705" s="329"/>
      <c r="E705" s="261">
        <v>14</v>
      </c>
      <c r="F705" s="8" t="s">
        <v>96</v>
      </c>
      <c r="H705" s="29"/>
    </row>
    <row r="706" spans="1:8" ht="15" customHeight="1" x14ac:dyDescent="0.25">
      <c r="A706" s="275"/>
      <c r="B706" s="293"/>
      <c r="C706" s="328" t="s">
        <v>499</v>
      </c>
      <c r="D706" s="329"/>
      <c r="E706" s="261">
        <v>4</v>
      </c>
      <c r="F706" s="8" t="s">
        <v>96</v>
      </c>
      <c r="H706" s="29"/>
    </row>
    <row r="707" spans="1:8" ht="14.45" customHeight="1" x14ac:dyDescent="0.25">
      <c r="A707" s="275"/>
      <c r="B707" s="293"/>
      <c r="C707" s="328" t="s">
        <v>500</v>
      </c>
      <c r="D707" s="329"/>
      <c r="E707" s="261">
        <v>31</v>
      </c>
      <c r="F707" s="8" t="s">
        <v>96</v>
      </c>
      <c r="H707" s="29"/>
    </row>
    <row r="708" spans="1:8" ht="14.45" customHeight="1" x14ac:dyDescent="0.25">
      <c r="A708" s="275"/>
      <c r="B708" s="293"/>
      <c r="C708" s="328" t="s">
        <v>501</v>
      </c>
      <c r="D708" s="329"/>
      <c r="E708" s="261">
        <v>4</v>
      </c>
      <c r="F708" s="8" t="s">
        <v>96</v>
      </c>
      <c r="H708" s="29"/>
    </row>
    <row r="709" spans="1:8" ht="14.45" customHeight="1" x14ac:dyDescent="0.25">
      <c r="A709" s="275"/>
      <c r="B709" s="293"/>
      <c r="C709" s="328" t="s">
        <v>502</v>
      </c>
      <c r="D709" s="329"/>
      <c r="E709" s="261">
        <v>28</v>
      </c>
      <c r="F709" s="8" t="s">
        <v>96</v>
      </c>
      <c r="H709" s="29"/>
    </row>
    <row r="710" spans="1:8" ht="14.45" customHeight="1" x14ac:dyDescent="0.25">
      <c r="A710" s="275"/>
      <c r="B710" s="293"/>
      <c r="C710" s="328" t="s">
        <v>503</v>
      </c>
      <c r="D710" s="329"/>
      <c r="E710" s="261">
        <v>4</v>
      </c>
      <c r="F710" s="8" t="s">
        <v>96</v>
      </c>
      <c r="H710" s="29"/>
    </row>
    <row r="711" spans="1:8" ht="15" customHeight="1" x14ac:dyDescent="0.25">
      <c r="A711" s="275"/>
      <c r="B711" s="293"/>
      <c r="C711" s="328" t="s">
        <v>504</v>
      </c>
      <c r="D711" s="329"/>
      <c r="E711" s="261">
        <v>49</v>
      </c>
      <c r="F711" s="8" t="s">
        <v>96</v>
      </c>
      <c r="H711" s="29"/>
    </row>
    <row r="712" spans="1:8" ht="15.75" customHeight="1" x14ac:dyDescent="0.25">
      <c r="A712" s="275"/>
      <c r="B712" s="293"/>
      <c r="C712" s="328" t="s">
        <v>505</v>
      </c>
      <c r="D712" s="329"/>
      <c r="E712" s="261">
        <v>4</v>
      </c>
      <c r="F712" s="8" t="s">
        <v>96</v>
      </c>
      <c r="G712" s="41"/>
      <c r="H712" s="29"/>
    </row>
    <row r="713" spans="1:8" ht="15.75" customHeight="1" x14ac:dyDescent="0.25">
      <c r="A713" s="275"/>
      <c r="B713" s="293"/>
      <c r="C713" s="328" t="s">
        <v>506</v>
      </c>
      <c r="D713" s="329"/>
      <c r="E713" s="47">
        <f>IF(SUM(E705,E707,E709,E711)&gt;0,(E705*E706+E707*E708+E709*E710+E711*E712)/SUM(E705,E707,E709,E711),0)</f>
        <v>4</v>
      </c>
      <c r="G713" s="41"/>
      <c r="H713" s="29"/>
    </row>
    <row r="714" spans="1:8" ht="15.75" hidden="1" customHeight="1" x14ac:dyDescent="0.25">
      <c r="A714" s="275"/>
      <c r="B714" s="293"/>
      <c r="C714" s="252" t="s">
        <v>187</v>
      </c>
      <c r="D714" s="116">
        <v>3</v>
      </c>
      <c r="E714" s="116">
        <v>3.5</v>
      </c>
      <c r="G714" s="41"/>
      <c r="H714" s="29"/>
    </row>
    <row r="715" spans="1:8" ht="15.75" hidden="1" customHeight="1" x14ac:dyDescent="0.25">
      <c r="A715" s="275"/>
      <c r="B715" s="293"/>
      <c r="C715" s="252" t="s">
        <v>206</v>
      </c>
      <c r="D715" s="116">
        <v>4.5</v>
      </c>
      <c r="E715" s="116">
        <v>7</v>
      </c>
      <c r="G715" s="41"/>
      <c r="H715" s="29"/>
    </row>
    <row r="716" spans="1:8" ht="15" customHeight="1" x14ac:dyDescent="0.25">
      <c r="A716" s="276"/>
      <c r="B716" s="294"/>
      <c r="C716" s="289" t="s">
        <v>36</v>
      </c>
      <c r="D716" s="326"/>
      <c r="E716" s="25">
        <f>IF(E713&gt;E715,0,IF(E713&gt;D715,-4/(E715-D715)*(E713-D715)+4,IF(E713&gt;E714,4,IF(E713&gt;D714,4/(E714-D714)*(E713-D714),0))))</f>
        <v>4</v>
      </c>
      <c r="H716" s="29"/>
    </row>
    <row r="717" spans="1:8" ht="15" customHeight="1" x14ac:dyDescent="0.25">
      <c r="C717" s="39"/>
      <c r="D717" s="67"/>
      <c r="H717" s="40"/>
    </row>
    <row r="718" spans="1:8" ht="40.5" customHeight="1" x14ac:dyDescent="0.25">
      <c r="A718" s="274">
        <v>57</v>
      </c>
      <c r="B718" s="322"/>
      <c r="C718" s="320" t="s">
        <v>507</v>
      </c>
      <c r="D718" s="321"/>
      <c r="E718" s="36"/>
      <c r="H718" s="202" t="s">
        <v>731</v>
      </c>
    </row>
    <row r="719" spans="1:8" ht="15" customHeight="1" x14ac:dyDescent="0.25">
      <c r="A719" s="275"/>
      <c r="B719" s="293"/>
      <c r="C719" s="328" t="s">
        <v>508</v>
      </c>
      <c r="D719" s="329"/>
      <c r="E719" s="261">
        <v>14</v>
      </c>
      <c r="F719" s="8" t="s">
        <v>96</v>
      </c>
      <c r="H719" s="29"/>
    </row>
    <row r="720" spans="1:8" ht="15" customHeight="1" x14ac:dyDescent="0.25">
      <c r="A720" s="275"/>
      <c r="B720" s="293"/>
      <c r="C720" s="328" t="s">
        <v>509</v>
      </c>
      <c r="D720" s="329"/>
      <c r="E720" s="261">
        <v>31</v>
      </c>
      <c r="F720" s="8" t="s">
        <v>96</v>
      </c>
      <c r="H720" s="29"/>
    </row>
    <row r="721" spans="1:8" x14ac:dyDescent="0.25">
      <c r="A721" s="275"/>
      <c r="B721" s="293"/>
      <c r="C721" s="328" t="s">
        <v>510</v>
      </c>
      <c r="D721" s="329"/>
      <c r="E721" s="261">
        <v>31</v>
      </c>
      <c r="F721" s="8" t="s">
        <v>96</v>
      </c>
      <c r="H721" s="29"/>
    </row>
    <row r="722" spans="1:8" ht="15" customHeight="1" x14ac:dyDescent="0.25">
      <c r="A722" s="275"/>
      <c r="B722" s="293"/>
      <c r="C722" s="328" t="s">
        <v>511</v>
      </c>
      <c r="D722" s="329"/>
      <c r="E722" s="261">
        <v>58</v>
      </c>
      <c r="F722" s="8" t="s">
        <v>96</v>
      </c>
      <c r="H722" s="29"/>
    </row>
    <row r="723" spans="1:8" ht="15" customHeight="1" x14ac:dyDescent="0.25">
      <c r="A723" s="275"/>
      <c r="B723" s="293"/>
      <c r="C723" s="328" t="s">
        <v>512</v>
      </c>
      <c r="D723" s="329"/>
      <c r="E723" s="261">
        <v>11</v>
      </c>
      <c r="F723" s="8" t="s">
        <v>96</v>
      </c>
      <c r="H723" s="29"/>
    </row>
    <row r="724" spans="1:8" ht="14.45" customHeight="1" x14ac:dyDescent="0.25">
      <c r="A724" s="275"/>
      <c r="B724" s="293"/>
      <c r="C724" s="328" t="s">
        <v>513</v>
      </c>
      <c r="D724" s="329"/>
      <c r="E724" s="261">
        <v>27</v>
      </c>
      <c r="F724" s="8" t="s">
        <v>96</v>
      </c>
      <c r="H724" s="29"/>
    </row>
    <row r="725" spans="1:8" ht="14.45" customHeight="1" x14ac:dyDescent="0.25">
      <c r="A725" s="275"/>
      <c r="B725" s="293"/>
      <c r="C725" s="328" t="s">
        <v>514</v>
      </c>
      <c r="D725" s="329"/>
      <c r="E725" s="261">
        <v>28</v>
      </c>
      <c r="F725" s="8" t="s">
        <v>96</v>
      </c>
      <c r="H725" s="29"/>
    </row>
    <row r="726" spans="1:8" ht="14.45" customHeight="1" x14ac:dyDescent="0.25">
      <c r="A726" s="275"/>
      <c r="B726" s="293"/>
      <c r="C726" s="328" t="s">
        <v>515</v>
      </c>
      <c r="D726" s="329"/>
      <c r="E726" s="261">
        <v>9</v>
      </c>
      <c r="F726" s="8" t="s">
        <v>96</v>
      </c>
      <c r="H726" s="29"/>
    </row>
    <row r="727" spans="1:8" ht="14.45" customHeight="1" x14ac:dyDescent="0.25">
      <c r="A727" s="275"/>
      <c r="B727" s="293"/>
      <c r="C727" s="328" t="s">
        <v>516</v>
      </c>
      <c r="D727" s="329"/>
      <c r="E727" s="114">
        <f>IF(SUM(E719:E722)&gt;0,SUM(E723:E726)/SUM(E719:E722),0)</f>
        <v>0.55970149253731338</v>
      </c>
      <c r="H727" s="29"/>
    </row>
    <row r="728" spans="1:8" ht="14.45" hidden="1" customHeight="1" x14ac:dyDescent="0.25">
      <c r="A728" s="275"/>
      <c r="B728" s="293"/>
      <c r="C728" s="162"/>
      <c r="D728" s="126"/>
      <c r="E728" s="117"/>
      <c r="H728" s="29"/>
    </row>
    <row r="729" spans="1:8" ht="15" hidden="1" customHeight="1" x14ac:dyDescent="0.25">
      <c r="A729" s="275"/>
      <c r="B729" s="293"/>
      <c r="C729" s="162"/>
      <c r="D729" s="126"/>
      <c r="E729" s="117"/>
      <c r="H729" s="29"/>
    </row>
    <row r="730" spans="1:8" ht="15.75" hidden="1" customHeight="1" x14ac:dyDescent="0.25">
      <c r="A730" s="275"/>
      <c r="B730" s="293"/>
      <c r="C730" s="139" t="s">
        <v>154</v>
      </c>
      <c r="D730" s="126">
        <v>0.5</v>
      </c>
      <c r="E730" s="117"/>
      <c r="G730" s="41"/>
      <c r="H730" s="29"/>
    </row>
    <row r="731" spans="1:8" ht="15" customHeight="1" x14ac:dyDescent="0.25">
      <c r="A731" s="276"/>
      <c r="B731" s="294"/>
      <c r="C731" s="289" t="s">
        <v>36</v>
      </c>
      <c r="D731" s="326"/>
      <c r="E731" s="25">
        <f>IF(E727&gt;=D730,4,1+3/D730*E727)</f>
        <v>4</v>
      </c>
      <c r="H731" s="29"/>
    </row>
    <row r="732" spans="1:8" ht="15" customHeight="1" x14ac:dyDescent="0.25">
      <c r="C732" s="39"/>
      <c r="D732" s="67"/>
      <c r="H732" s="40"/>
    </row>
    <row r="733" spans="1:8" ht="40.5" customHeight="1" x14ac:dyDescent="0.25">
      <c r="A733" s="274">
        <v>58</v>
      </c>
      <c r="B733" s="322"/>
      <c r="C733" s="320" t="s">
        <v>517</v>
      </c>
      <c r="D733" s="321"/>
      <c r="E733" s="36"/>
      <c r="H733" s="202" t="s">
        <v>732</v>
      </c>
    </row>
    <row r="734" spans="1:8" ht="15" customHeight="1" x14ac:dyDescent="0.25">
      <c r="A734" s="275"/>
      <c r="B734" s="293"/>
      <c r="C734" s="328" t="s">
        <v>518</v>
      </c>
      <c r="D734" s="329"/>
      <c r="E734" s="261">
        <v>14</v>
      </c>
      <c r="F734" s="8" t="s">
        <v>96</v>
      </c>
      <c r="H734" s="29"/>
    </row>
    <row r="735" spans="1:8" ht="15" customHeight="1" x14ac:dyDescent="0.25">
      <c r="A735" s="275"/>
      <c r="B735" s="293"/>
      <c r="C735" s="328" t="s">
        <v>519</v>
      </c>
      <c r="D735" s="329"/>
      <c r="E735" s="261">
        <v>11</v>
      </c>
      <c r="F735" s="8" t="s">
        <v>96</v>
      </c>
      <c r="H735" s="29"/>
    </row>
    <row r="736" spans="1:8" ht="14.45" customHeight="1" x14ac:dyDescent="0.25">
      <c r="A736" s="275"/>
      <c r="B736" s="293"/>
      <c r="C736" s="328" t="s">
        <v>520</v>
      </c>
      <c r="D736" s="329"/>
      <c r="E736" s="261">
        <v>3</v>
      </c>
      <c r="F736" s="8" t="s">
        <v>96</v>
      </c>
      <c r="H736" s="29"/>
    </row>
    <row r="737" spans="1:8" ht="14.45" customHeight="1" x14ac:dyDescent="0.25">
      <c r="A737" s="275"/>
      <c r="B737" s="293"/>
      <c r="C737" s="191" t="s">
        <v>521</v>
      </c>
      <c r="D737" s="192"/>
      <c r="E737" s="261">
        <v>0</v>
      </c>
      <c r="F737" s="8" t="s">
        <v>96</v>
      </c>
      <c r="H737" s="29"/>
    </row>
    <row r="738" spans="1:8" ht="15" customHeight="1" x14ac:dyDescent="0.25">
      <c r="A738" s="275"/>
      <c r="B738" s="293"/>
      <c r="C738" s="191" t="s">
        <v>522</v>
      </c>
      <c r="D738" s="192"/>
      <c r="E738" s="261">
        <v>0</v>
      </c>
      <c r="F738" s="8" t="s">
        <v>96</v>
      </c>
      <c r="H738" s="29"/>
    </row>
    <row r="739" spans="1:8" x14ac:dyDescent="0.25">
      <c r="A739" s="275"/>
      <c r="B739" s="293"/>
      <c r="C739" s="328" t="s">
        <v>523</v>
      </c>
      <c r="D739" s="329"/>
      <c r="E739" s="114">
        <f>IF(E734&gt;0,SUM(E735:E738)/E734,0)</f>
        <v>1</v>
      </c>
      <c r="H739" s="29"/>
    </row>
    <row r="740" spans="1:8" ht="14.45" hidden="1" customHeight="1" x14ac:dyDescent="0.25">
      <c r="A740" s="275"/>
      <c r="B740" s="293"/>
      <c r="C740" s="162"/>
      <c r="D740" s="126"/>
      <c r="E740" s="117"/>
      <c r="H740" s="29"/>
    </row>
    <row r="741" spans="1:8" ht="15.75" hidden="1" customHeight="1" x14ac:dyDescent="0.25">
      <c r="A741" s="275"/>
      <c r="B741" s="293"/>
      <c r="C741" s="139" t="s">
        <v>187</v>
      </c>
      <c r="D741" s="126">
        <v>0.3</v>
      </c>
      <c r="E741" s="117"/>
      <c r="G741" s="41"/>
      <c r="H741" s="29"/>
    </row>
    <row r="742" spans="1:8" ht="15.75" hidden="1" customHeight="1" x14ac:dyDescent="0.25">
      <c r="A742" s="275"/>
      <c r="B742" s="293"/>
      <c r="C742" s="139" t="s">
        <v>188</v>
      </c>
      <c r="D742" s="126">
        <v>0.85</v>
      </c>
      <c r="E742" s="117"/>
      <c r="G742" s="41"/>
      <c r="H742" s="29"/>
    </row>
    <row r="743" spans="1:8" ht="15" customHeight="1" x14ac:dyDescent="0.25">
      <c r="A743" s="276"/>
      <c r="B743" s="294"/>
      <c r="C743" s="289" t="s">
        <v>36</v>
      </c>
      <c r="D743" s="326"/>
      <c r="E743" s="25">
        <f>IF(E739&gt;=D742,4,IF(E739&gt;=D741,4/(D742-D741)*(E739-D741),0))</f>
        <v>4</v>
      </c>
      <c r="H743" s="29"/>
    </row>
    <row r="744" spans="1:8" ht="15" customHeight="1" x14ac:dyDescent="0.25">
      <c r="C744" s="39"/>
      <c r="D744" s="67"/>
      <c r="H744" s="40"/>
    </row>
    <row r="745" spans="1:8" ht="120.6" customHeight="1" x14ac:dyDescent="0.25">
      <c r="A745" s="274">
        <v>59</v>
      </c>
      <c r="B745" s="322"/>
      <c r="C745" s="320" t="s">
        <v>524</v>
      </c>
      <c r="D745" s="321"/>
      <c r="E745" s="21">
        <v>0</v>
      </c>
      <c r="F745" s="8" t="str">
        <f>IF(OR(ISBLANK(E745),E745&gt;4),"Salah isi","judge")</f>
        <v>judge</v>
      </c>
      <c r="H745" s="202" t="s">
        <v>733</v>
      </c>
    </row>
    <row r="746" spans="1:8" x14ac:dyDescent="0.25">
      <c r="A746" s="275"/>
      <c r="B746" s="293"/>
      <c r="C746" s="22">
        <v>4</v>
      </c>
      <c r="D746" s="60" t="s">
        <v>525</v>
      </c>
      <c r="E746" s="23"/>
      <c r="H746" s="29"/>
    </row>
    <row r="747" spans="1:8" x14ac:dyDescent="0.25">
      <c r="A747" s="275"/>
      <c r="B747" s="293"/>
      <c r="C747" s="22">
        <v>3</v>
      </c>
      <c r="D747" s="60" t="s">
        <v>526</v>
      </c>
      <c r="E747" s="23"/>
      <c r="H747" s="29"/>
    </row>
    <row r="748" spans="1:8" x14ac:dyDescent="0.25">
      <c r="A748" s="275"/>
      <c r="B748" s="293"/>
      <c r="C748" s="22">
        <v>2</v>
      </c>
      <c r="D748" s="60" t="s">
        <v>527</v>
      </c>
      <c r="E748" s="23"/>
      <c r="H748" s="29"/>
    </row>
    <row r="749" spans="1:8" x14ac:dyDescent="0.25">
      <c r="A749" s="275"/>
      <c r="B749" s="293"/>
      <c r="C749" s="22">
        <v>1</v>
      </c>
      <c r="D749" s="60" t="s">
        <v>528</v>
      </c>
      <c r="E749" s="23"/>
      <c r="H749" s="29"/>
    </row>
    <row r="750" spans="1:8" x14ac:dyDescent="0.25">
      <c r="A750" s="275"/>
      <c r="B750" s="293"/>
      <c r="C750" s="22">
        <v>0</v>
      </c>
      <c r="D750" s="60" t="s">
        <v>529</v>
      </c>
      <c r="E750" s="24"/>
      <c r="H750" s="29"/>
    </row>
    <row r="751" spans="1:8" ht="15" customHeight="1" x14ac:dyDescent="0.25">
      <c r="A751" s="276"/>
      <c r="B751" s="294"/>
      <c r="C751" s="289" t="s">
        <v>36</v>
      </c>
      <c r="D751" s="290"/>
      <c r="E751" s="25">
        <f>IF(F745="Salah isi",0,E745)</f>
        <v>0</v>
      </c>
      <c r="H751" s="29"/>
    </row>
    <row r="752" spans="1:8" ht="15" customHeight="1" x14ac:dyDescent="0.25">
      <c r="A752" s="26"/>
      <c r="B752" s="26"/>
      <c r="C752" s="27"/>
      <c r="D752" s="62"/>
      <c r="E752" s="28"/>
      <c r="H752" s="29"/>
    </row>
    <row r="753" spans="1:8" ht="29.25" customHeight="1" x14ac:dyDescent="0.25">
      <c r="A753" s="274">
        <v>60</v>
      </c>
      <c r="B753" s="291"/>
      <c r="C753" s="295" t="s">
        <v>530</v>
      </c>
      <c r="D753" s="296"/>
      <c r="E753" s="36"/>
      <c r="H753" s="265" t="s">
        <v>757</v>
      </c>
    </row>
    <row r="754" spans="1:8" ht="15" customHeight="1" x14ac:dyDescent="0.25">
      <c r="A754" s="275"/>
      <c r="B754" s="292"/>
      <c r="C754" s="297" t="s">
        <v>531</v>
      </c>
      <c r="D754" s="298"/>
      <c r="E754" s="262">
        <v>28</v>
      </c>
      <c r="F754" s="8" t="s">
        <v>96</v>
      </c>
      <c r="H754" s="29"/>
    </row>
    <row r="755" spans="1:8" ht="15" customHeight="1" x14ac:dyDescent="0.25">
      <c r="A755" s="275"/>
      <c r="B755" s="292"/>
      <c r="C755" s="297" t="s">
        <v>532</v>
      </c>
      <c r="D755" s="298"/>
      <c r="E755" s="262">
        <v>49</v>
      </c>
      <c r="F755" s="8" t="s">
        <v>96</v>
      </c>
      <c r="H755" s="29"/>
    </row>
    <row r="756" spans="1:8" ht="15" customHeight="1" x14ac:dyDescent="0.25">
      <c r="A756" s="275"/>
      <c r="B756" s="292"/>
      <c r="C756" s="297" t="s">
        <v>533</v>
      </c>
      <c r="D756" s="298"/>
      <c r="E756" s="262">
        <v>21</v>
      </c>
      <c r="F756" s="8" t="s">
        <v>96</v>
      </c>
      <c r="H756" s="29"/>
    </row>
    <row r="757" spans="1:8" ht="15" customHeight="1" x14ac:dyDescent="0.25">
      <c r="A757" s="275"/>
      <c r="B757" s="292"/>
      <c r="C757" s="297" t="s">
        <v>534</v>
      </c>
      <c r="D757" s="298"/>
      <c r="E757" s="262">
        <v>28</v>
      </c>
      <c r="F757" s="8" t="s">
        <v>96</v>
      </c>
      <c r="H757" s="29"/>
    </row>
    <row r="758" spans="1:8" ht="15" customHeight="1" x14ac:dyDescent="0.25">
      <c r="A758" s="275"/>
      <c r="B758" s="292"/>
      <c r="C758" s="297" t="s">
        <v>535</v>
      </c>
      <c r="D758" s="298"/>
      <c r="E758" s="262">
        <v>49</v>
      </c>
      <c r="F758" s="8" t="s">
        <v>96</v>
      </c>
      <c r="H758" s="29"/>
    </row>
    <row r="759" spans="1:8" ht="15" customHeight="1" x14ac:dyDescent="0.25">
      <c r="A759" s="275"/>
      <c r="B759" s="292"/>
      <c r="C759" s="297" t="s">
        <v>536</v>
      </c>
      <c r="D759" s="298"/>
      <c r="E759" s="262">
        <v>18</v>
      </c>
      <c r="F759" s="8" t="s">
        <v>96</v>
      </c>
      <c r="H759" s="29"/>
    </row>
    <row r="760" spans="1:8" ht="17.100000000000001" customHeight="1" x14ac:dyDescent="0.25">
      <c r="A760" s="275"/>
      <c r="B760" s="292"/>
      <c r="C760" s="131" t="s">
        <v>537</v>
      </c>
      <c r="D760" s="132"/>
      <c r="E760" s="133">
        <f>IF(SUM(E754:E756)&gt;=300,1,2)</f>
        <v>2</v>
      </c>
      <c r="H760" s="29"/>
    </row>
    <row r="761" spans="1:8" ht="15" customHeight="1" x14ac:dyDescent="0.25">
      <c r="A761" s="275"/>
      <c r="B761" s="292"/>
      <c r="C761" s="297" t="s">
        <v>538</v>
      </c>
      <c r="D761" s="298"/>
      <c r="E761" s="75">
        <f>IF(SUM(E754:E756)&gt;0,SUM(E757:E759)/SUM(E754:E756),0)</f>
        <v>0.96938775510204078</v>
      </c>
      <c r="H761" s="29"/>
    </row>
    <row r="762" spans="1:8" ht="17.649999999999999" customHeight="1" x14ac:dyDescent="0.25">
      <c r="A762" s="275"/>
      <c r="B762" s="292"/>
      <c r="C762" s="74" t="s">
        <v>539</v>
      </c>
      <c r="D762" s="73"/>
      <c r="E762" s="134">
        <f>IF(E760=1,30%,50%-SUM(E754:E756)/300*20%)</f>
        <v>0.43466666666666665</v>
      </c>
      <c r="H762" s="29"/>
    </row>
    <row r="763" spans="1:8" ht="48.75" customHeight="1" x14ac:dyDescent="0.25">
      <c r="A763" s="275"/>
      <c r="B763" s="293"/>
      <c r="C763" s="330" t="s">
        <v>540</v>
      </c>
      <c r="D763" s="330"/>
      <c r="E763" s="130"/>
      <c r="H763" s="29"/>
    </row>
    <row r="764" spans="1:8" ht="14.45" customHeight="1" x14ac:dyDescent="0.25">
      <c r="A764" s="275"/>
      <c r="B764" s="293"/>
      <c r="C764" s="286" t="s">
        <v>541</v>
      </c>
      <c r="D764" s="115" t="s">
        <v>542</v>
      </c>
      <c r="E764" s="263">
        <v>25</v>
      </c>
      <c r="F764" s="8" t="s">
        <v>96</v>
      </c>
      <c r="H764" s="29"/>
    </row>
    <row r="765" spans="1:8" ht="15" customHeight="1" x14ac:dyDescent="0.25">
      <c r="A765" s="275"/>
      <c r="B765" s="293"/>
      <c r="C765" s="287"/>
      <c r="D765" s="115" t="s">
        <v>543</v>
      </c>
      <c r="E765" s="263">
        <v>3</v>
      </c>
      <c r="F765" s="8" t="s">
        <v>96</v>
      </c>
      <c r="H765" s="29"/>
    </row>
    <row r="766" spans="1:8" ht="15" customHeight="1" x14ac:dyDescent="0.25">
      <c r="A766" s="275"/>
      <c r="B766" s="293"/>
      <c r="C766" s="288"/>
      <c r="D766" s="115" t="s">
        <v>544</v>
      </c>
      <c r="E766" s="263">
        <v>0</v>
      </c>
      <c r="F766" s="8" t="s">
        <v>96</v>
      </c>
      <c r="H766" s="29"/>
    </row>
    <row r="767" spans="1:8" ht="14.45" customHeight="1" x14ac:dyDescent="0.25">
      <c r="A767" s="275"/>
      <c r="B767" s="293"/>
      <c r="C767" s="286" t="s">
        <v>545</v>
      </c>
      <c r="D767" s="115" t="s">
        <v>542</v>
      </c>
      <c r="E767" s="263">
        <v>46</v>
      </c>
      <c r="F767" s="8" t="s">
        <v>96</v>
      </c>
      <c r="H767" s="29"/>
    </row>
    <row r="768" spans="1:8" ht="15" customHeight="1" x14ac:dyDescent="0.25">
      <c r="A768" s="275"/>
      <c r="B768" s="293"/>
      <c r="C768" s="287"/>
      <c r="D768" s="115" t="s">
        <v>543</v>
      </c>
      <c r="E768" s="263">
        <v>3</v>
      </c>
      <c r="F768" s="8" t="s">
        <v>96</v>
      </c>
      <c r="H768" s="29"/>
    </row>
    <row r="769" spans="1:8" ht="15" customHeight="1" x14ac:dyDescent="0.25">
      <c r="A769" s="275"/>
      <c r="B769" s="293"/>
      <c r="C769" s="288"/>
      <c r="D769" s="115" t="s">
        <v>544</v>
      </c>
      <c r="E769" s="263">
        <v>3</v>
      </c>
      <c r="F769" s="8" t="s">
        <v>96</v>
      </c>
      <c r="H769" s="29"/>
    </row>
    <row r="770" spans="1:8" ht="14.45" customHeight="1" x14ac:dyDescent="0.25">
      <c r="A770" s="275"/>
      <c r="B770" s="293"/>
      <c r="C770" s="286" t="s">
        <v>546</v>
      </c>
      <c r="D770" s="115" t="s">
        <v>542</v>
      </c>
      <c r="E770" s="263">
        <v>15</v>
      </c>
      <c r="F770" s="8" t="s">
        <v>96</v>
      </c>
      <c r="H770" s="29"/>
    </row>
    <row r="771" spans="1:8" ht="15" customHeight="1" x14ac:dyDescent="0.25">
      <c r="A771" s="275"/>
      <c r="B771" s="293"/>
      <c r="C771" s="287"/>
      <c r="D771" s="115" t="s">
        <v>543</v>
      </c>
      <c r="E771" s="263">
        <v>2</v>
      </c>
      <c r="F771" s="8" t="s">
        <v>96</v>
      </c>
      <c r="H771" s="29"/>
    </row>
    <row r="772" spans="1:8" ht="15" customHeight="1" x14ac:dyDescent="0.25">
      <c r="A772" s="275"/>
      <c r="B772" s="293"/>
      <c r="C772" s="288"/>
      <c r="D772" s="115" t="s">
        <v>544</v>
      </c>
      <c r="E772" s="263">
        <v>1</v>
      </c>
      <c r="F772" s="8" t="s">
        <v>96</v>
      </c>
      <c r="H772" s="29"/>
    </row>
    <row r="773" spans="1:8" ht="14.45" hidden="1" customHeight="1" x14ac:dyDescent="0.25">
      <c r="A773" s="275"/>
      <c r="B773" s="293"/>
      <c r="C773" s="139" t="s">
        <v>187</v>
      </c>
      <c r="D773" s="127">
        <v>3</v>
      </c>
      <c r="E773" s="117"/>
      <c r="H773" s="29"/>
    </row>
    <row r="774" spans="1:8" ht="14.45" hidden="1" customHeight="1" x14ac:dyDescent="0.25">
      <c r="A774" s="275"/>
      <c r="B774" s="293"/>
      <c r="C774" s="139" t="s">
        <v>188</v>
      </c>
      <c r="D774" s="127">
        <v>6</v>
      </c>
      <c r="E774" s="117"/>
      <c r="H774" s="29"/>
    </row>
    <row r="775" spans="1:8" ht="14.45" hidden="1" customHeight="1" x14ac:dyDescent="0.25">
      <c r="A775" s="275"/>
      <c r="B775" s="293"/>
      <c r="C775" s="139" t="s">
        <v>206</v>
      </c>
      <c r="D775" s="127">
        <v>12</v>
      </c>
      <c r="E775" s="117"/>
      <c r="H775" s="29"/>
    </row>
    <row r="776" spans="1:8" ht="29.1" hidden="1" customHeight="1" x14ac:dyDescent="0.25">
      <c r="A776" s="275"/>
      <c r="B776" s="293"/>
      <c r="C776" s="137" t="s">
        <v>547</v>
      </c>
      <c r="D776" s="128">
        <f>AVERAGE(0,D773)</f>
        <v>1.5</v>
      </c>
      <c r="E776" s="91"/>
      <c r="H776" s="29"/>
    </row>
    <row r="777" spans="1:8" ht="29.1" hidden="1" customHeight="1" x14ac:dyDescent="0.25">
      <c r="A777" s="275"/>
      <c r="B777" s="293"/>
      <c r="C777" s="137" t="s">
        <v>548</v>
      </c>
      <c r="D777" s="128">
        <f>AVERAGE(D773,D774)</f>
        <v>4.5</v>
      </c>
      <c r="E777" s="91"/>
      <c r="H777" s="29"/>
    </row>
    <row r="778" spans="1:8" ht="29.1" hidden="1" customHeight="1" x14ac:dyDescent="0.25">
      <c r="A778" s="275"/>
      <c r="B778" s="293"/>
      <c r="C778" s="137" t="s">
        <v>549</v>
      </c>
      <c r="D778" s="128">
        <f>AVERAGE(D774,D775)</f>
        <v>9</v>
      </c>
      <c r="E778" s="91"/>
      <c r="H778" s="29"/>
    </row>
    <row r="779" spans="1:8" ht="15" customHeight="1" x14ac:dyDescent="0.25">
      <c r="A779" s="275"/>
      <c r="B779" s="293"/>
      <c r="C779" s="299" t="s">
        <v>550</v>
      </c>
      <c r="D779" s="300"/>
      <c r="E779" s="58">
        <f>IF(SUM(E764:E772)&gt;0,((E764+E767+E770)*D776+(E765+E768+E771)*D777+(E766+E769+E772)*D778)/SUM(E764:E772),0)</f>
        <v>2.0510204081632653</v>
      </c>
      <c r="H779" s="29"/>
    </row>
    <row r="780" spans="1:8" ht="15" customHeight="1" x14ac:dyDescent="0.25">
      <c r="A780" s="275"/>
      <c r="B780" s="293"/>
      <c r="C780" s="299" t="s">
        <v>551</v>
      </c>
      <c r="D780" s="300"/>
      <c r="E780" s="54">
        <f>IF(E779&gt;=D774,0,IF(E779&gt;3,-4/(D774-D773)*(E779-D773)+4,4))</f>
        <v>4</v>
      </c>
      <c r="H780" s="29"/>
    </row>
    <row r="781" spans="1:8" ht="15" customHeight="1" x14ac:dyDescent="0.25">
      <c r="A781" s="276"/>
      <c r="B781" s="294"/>
      <c r="C781" s="289" t="s">
        <v>36</v>
      </c>
      <c r="D781" s="290"/>
      <c r="E781" s="25">
        <f>IF(E761&gt;=E762,E780,E761/E762*E780)</f>
        <v>4</v>
      </c>
      <c r="H781" s="29"/>
    </row>
    <row r="782" spans="1:8" ht="15" customHeight="1" x14ac:dyDescent="0.25">
      <c r="C782" s="39"/>
      <c r="D782" s="67"/>
      <c r="H782" s="40"/>
    </row>
    <row r="783" spans="1:8" ht="29.25" customHeight="1" x14ac:dyDescent="0.25">
      <c r="A783" s="274">
        <v>61</v>
      </c>
      <c r="B783" s="291"/>
      <c r="C783" s="295" t="s">
        <v>552</v>
      </c>
      <c r="D783" s="296"/>
      <c r="E783" s="36"/>
      <c r="H783" s="265" t="s">
        <v>756</v>
      </c>
    </row>
    <row r="784" spans="1:8" ht="15" customHeight="1" x14ac:dyDescent="0.25">
      <c r="A784" s="275"/>
      <c r="B784" s="292"/>
      <c r="C784" s="297" t="s">
        <v>531</v>
      </c>
      <c r="D784" s="298"/>
      <c r="E784" s="262">
        <v>28</v>
      </c>
      <c r="F784" s="8" t="s">
        <v>96</v>
      </c>
      <c r="H784" s="29"/>
    </row>
    <row r="785" spans="1:8" ht="15" customHeight="1" x14ac:dyDescent="0.25">
      <c r="A785" s="275"/>
      <c r="B785" s="292"/>
      <c r="C785" s="297" t="s">
        <v>532</v>
      </c>
      <c r="D785" s="298"/>
      <c r="E785" s="262">
        <v>49</v>
      </c>
      <c r="F785" s="8" t="s">
        <v>96</v>
      </c>
      <c r="H785" s="29"/>
    </row>
    <row r="786" spans="1:8" ht="15" customHeight="1" x14ac:dyDescent="0.25">
      <c r="A786" s="275"/>
      <c r="B786" s="292"/>
      <c r="C786" s="297" t="s">
        <v>533</v>
      </c>
      <c r="D786" s="298"/>
      <c r="E786" s="262">
        <v>21</v>
      </c>
      <c r="F786" s="8" t="s">
        <v>96</v>
      </c>
      <c r="H786" s="29"/>
    </row>
    <row r="787" spans="1:8" ht="15" customHeight="1" x14ac:dyDescent="0.25">
      <c r="A787" s="275"/>
      <c r="B787" s="292"/>
      <c r="C787" s="297" t="s">
        <v>534</v>
      </c>
      <c r="D787" s="298"/>
      <c r="E787" s="262">
        <v>28</v>
      </c>
      <c r="F787" s="8" t="s">
        <v>96</v>
      </c>
      <c r="H787" s="29"/>
    </row>
    <row r="788" spans="1:8" ht="15" customHeight="1" x14ac:dyDescent="0.25">
      <c r="A788" s="275"/>
      <c r="B788" s="292"/>
      <c r="C788" s="297" t="s">
        <v>535</v>
      </c>
      <c r="D788" s="298"/>
      <c r="E788" s="262">
        <v>49</v>
      </c>
      <c r="F788" s="8" t="s">
        <v>96</v>
      </c>
      <c r="H788" s="29"/>
    </row>
    <row r="789" spans="1:8" ht="15" customHeight="1" x14ac:dyDescent="0.25">
      <c r="A789" s="275"/>
      <c r="B789" s="292"/>
      <c r="C789" s="297" t="s">
        <v>553</v>
      </c>
      <c r="D789" s="298"/>
      <c r="E789" s="262">
        <v>18</v>
      </c>
      <c r="F789" s="8" t="s">
        <v>96</v>
      </c>
      <c r="H789" s="29"/>
    </row>
    <row r="790" spans="1:8" ht="17.100000000000001" customHeight="1" x14ac:dyDescent="0.25">
      <c r="A790" s="275"/>
      <c r="B790" s="292"/>
      <c r="C790" s="131" t="s">
        <v>537</v>
      </c>
      <c r="D790" s="132"/>
      <c r="E790" s="133">
        <f>IF(SUM(E784:E786)&gt;=300,1,2)</f>
        <v>2</v>
      </c>
      <c r="H790" s="29"/>
    </row>
    <row r="791" spans="1:8" ht="15" customHeight="1" x14ac:dyDescent="0.25">
      <c r="A791" s="275"/>
      <c r="B791" s="292"/>
      <c r="C791" s="297" t="s">
        <v>538</v>
      </c>
      <c r="D791" s="298"/>
      <c r="E791" s="75">
        <f>IF(SUM(E784:E786)&gt;0,SUM(E787:E789)/SUM(E784:E786),0)</f>
        <v>0.96938775510204078</v>
      </c>
      <c r="H791" s="29"/>
    </row>
    <row r="792" spans="1:8" ht="17.649999999999999" customHeight="1" x14ac:dyDescent="0.25">
      <c r="A792" s="275"/>
      <c r="B792" s="292"/>
      <c r="C792" s="74" t="s">
        <v>539</v>
      </c>
      <c r="D792" s="73"/>
      <c r="E792" s="134">
        <f>IF(E790=1,30%,50%-SUM(E784:E786)/300*20%)</f>
        <v>0.43466666666666665</v>
      </c>
      <c r="H792" s="29"/>
    </row>
    <row r="793" spans="1:8" ht="48.75" customHeight="1" x14ac:dyDescent="0.25">
      <c r="A793" s="275"/>
      <c r="B793" s="293"/>
      <c r="C793" s="330" t="s">
        <v>554</v>
      </c>
      <c r="D793" s="330"/>
      <c r="E793" s="130"/>
      <c r="H793" s="29"/>
    </row>
    <row r="794" spans="1:8" ht="14.45" customHeight="1" x14ac:dyDescent="0.25">
      <c r="A794" s="275"/>
      <c r="B794" s="293"/>
      <c r="C794" s="286" t="s">
        <v>541</v>
      </c>
      <c r="D794" s="115" t="s">
        <v>555</v>
      </c>
      <c r="E794" s="263">
        <v>0</v>
      </c>
      <c r="F794" s="8" t="s">
        <v>96</v>
      </c>
      <c r="H794" s="29"/>
    </row>
    <row r="795" spans="1:8" ht="15" customHeight="1" x14ac:dyDescent="0.25">
      <c r="A795" s="275"/>
      <c r="B795" s="293"/>
      <c r="C795" s="287"/>
      <c r="D795" s="115" t="s">
        <v>556</v>
      </c>
      <c r="E795" s="263">
        <v>5</v>
      </c>
      <c r="F795" s="8" t="s">
        <v>96</v>
      </c>
      <c r="H795" s="29"/>
    </row>
    <row r="796" spans="1:8" ht="15" customHeight="1" x14ac:dyDescent="0.25">
      <c r="A796" s="275"/>
      <c r="B796" s="293"/>
      <c r="C796" s="288"/>
      <c r="D796" s="115" t="s">
        <v>557</v>
      </c>
      <c r="E796" s="263">
        <v>23</v>
      </c>
      <c r="F796" s="8" t="s">
        <v>96</v>
      </c>
      <c r="H796" s="29"/>
    </row>
    <row r="797" spans="1:8" ht="14.45" customHeight="1" x14ac:dyDescent="0.25">
      <c r="A797" s="275"/>
      <c r="B797" s="293"/>
      <c r="C797" s="286" t="s">
        <v>545</v>
      </c>
      <c r="D797" s="115" t="s">
        <v>555</v>
      </c>
      <c r="E797" s="263">
        <v>1</v>
      </c>
      <c r="F797" s="8" t="s">
        <v>96</v>
      </c>
      <c r="H797" s="29"/>
    </row>
    <row r="798" spans="1:8" ht="15" customHeight="1" x14ac:dyDescent="0.25">
      <c r="A798" s="275"/>
      <c r="B798" s="293"/>
      <c r="C798" s="287"/>
      <c r="D798" s="115" t="s">
        <v>556</v>
      </c>
      <c r="E798" s="263">
        <v>17</v>
      </c>
      <c r="F798" s="8" t="s">
        <v>96</v>
      </c>
      <c r="H798" s="29"/>
    </row>
    <row r="799" spans="1:8" ht="15" customHeight="1" x14ac:dyDescent="0.25">
      <c r="A799" s="275"/>
      <c r="B799" s="293"/>
      <c r="C799" s="288"/>
      <c r="D799" s="115" t="s">
        <v>557</v>
      </c>
      <c r="E799" s="263">
        <v>31</v>
      </c>
      <c r="F799" s="8" t="s">
        <v>96</v>
      </c>
      <c r="H799" s="29"/>
    </row>
    <row r="800" spans="1:8" ht="14.45" customHeight="1" x14ac:dyDescent="0.25">
      <c r="A800" s="275"/>
      <c r="B800" s="293"/>
      <c r="C800" s="286" t="s">
        <v>546</v>
      </c>
      <c r="D800" s="115" t="s">
        <v>555</v>
      </c>
      <c r="E800" s="263">
        <v>1</v>
      </c>
      <c r="F800" s="8" t="s">
        <v>96</v>
      </c>
      <c r="H800" s="29"/>
    </row>
    <row r="801" spans="1:8" ht="15" customHeight="1" x14ac:dyDescent="0.25">
      <c r="A801" s="275"/>
      <c r="B801" s="293"/>
      <c r="C801" s="287"/>
      <c r="D801" s="115" t="s">
        <v>556</v>
      </c>
      <c r="E801" s="263">
        <v>14</v>
      </c>
      <c r="F801" s="8" t="s">
        <v>96</v>
      </c>
      <c r="H801" s="29"/>
    </row>
    <row r="802" spans="1:8" ht="15" customHeight="1" x14ac:dyDescent="0.25">
      <c r="A802" s="275"/>
      <c r="B802" s="293"/>
      <c r="C802" s="288"/>
      <c r="D802" s="115" t="s">
        <v>557</v>
      </c>
      <c r="E802" s="263">
        <v>3</v>
      </c>
      <c r="F802" s="8" t="s">
        <v>96</v>
      </c>
      <c r="H802" s="29"/>
    </row>
    <row r="803" spans="1:8" ht="14.45" hidden="1" customHeight="1" x14ac:dyDescent="0.25">
      <c r="A803" s="275"/>
      <c r="B803" s="293"/>
      <c r="C803" s="139" t="s">
        <v>154</v>
      </c>
      <c r="D803" s="141">
        <v>0.6</v>
      </c>
      <c r="E803" s="117"/>
      <c r="H803" s="29"/>
    </row>
    <row r="804" spans="1:8" ht="14.45" hidden="1" customHeight="1" x14ac:dyDescent="0.25">
      <c r="A804" s="275"/>
      <c r="B804" s="293"/>
      <c r="C804" s="137" t="s">
        <v>187</v>
      </c>
      <c r="D804" s="140">
        <v>0.3</v>
      </c>
      <c r="E804" s="91" t="s">
        <v>558</v>
      </c>
      <c r="H804" s="29"/>
    </row>
    <row r="805" spans="1:8" ht="14.45" hidden="1" customHeight="1" x14ac:dyDescent="0.25">
      <c r="A805" s="275"/>
      <c r="B805" s="293"/>
      <c r="C805" s="137" t="s">
        <v>188</v>
      </c>
      <c r="D805" s="140">
        <v>0.7</v>
      </c>
      <c r="E805" s="91" t="s">
        <v>559</v>
      </c>
      <c r="H805" s="29"/>
    </row>
    <row r="806" spans="1:8" ht="14.45" hidden="1" customHeight="1" x14ac:dyDescent="0.25">
      <c r="A806" s="275"/>
      <c r="B806" s="293"/>
      <c r="C806" s="137" t="s">
        <v>206</v>
      </c>
      <c r="D806" s="140">
        <v>1</v>
      </c>
      <c r="E806" s="91" t="s">
        <v>560</v>
      </c>
      <c r="H806" s="29"/>
    </row>
    <row r="807" spans="1:8" ht="15" customHeight="1" x14ac:dyDescent="0.25">
      <c r="A807" s="275"/>
      <c r="B807" s="293"/>
      <c r="C807" s="299" t="s">
        <v>561</v>
      </c>
      <c r="D807" s="300"/>
      <c r="E807" s="55">
        <f>IF(SUM(E794:E802)&gt;0,((E794+E797+E800)*D804+(E795+E798+E801)*D805+(E796+E799+E802)*D806)/SUM(E794:E802),0)</f>
        <v>0.87157894736842101</v>
      </c>
      <c r="H807" s="29"/>
    </row>
    <row r="808" spans="1:8" ht="15" customHeight="1" x14ac:dyDescent="0.25">
      <c r="A808" s="275"/>
      <c r="B808" s="293"/>
      <c r="C808" s="299" t="s">
        <v>551</v>
      </c>
      <c r="D808" s="300"/>
      <c r="E808" s="54">
        <f>IF(E807&gt;=60%,4,(20*E807)/3)</f>
        <v>4</v>
      </c>
      <c r="H808" s="29"/>
    </row>
    <row r="809" spans="1:8" ht="15" customHeight="1" x14ac:dyDescent="0.25">
      <c r="A809" s="276"/>
      <c r="B809" s="294"/>
      <c r="C809" s="289" t="s">
        <v>36</v>
      </c>
      <c r="D809" s="290"/>
      <c r="E809" s="25">
        <f>IF(E791&gt;=E792,E808,E791/E792*E808)</f>
        <v>4</v>
      </c>
      <c r="H809" s="29"/>
    </row>
    <row r="810" spans="1:8" ht="15" customHeight="1" x14ac:dyDescent="0.25">
      <c r="C810" s="39"/>
      <c r="D810" s="67"/>
      <c r="H810" s="40"/>
    </row>
    <row r="811" spans="1:8" ht="29.25" customHeight="1" x14ac:dyDescent="0.25">
      <c r="A811" s="274">
        <v>62</v>
      </c>
      <c r="B811" s="291"/>
      <c r="C811" s="295" t="s">
        <v>562</v>
      </c>
      <c r="D811" s="296"/>
      <c r="E811" s="36"/>
      <c r="H811" s="265" t="s">
        <v>758</v>
      </c>
    </row>
    <row r="812" spans="1:8" ht="15" customHeight="1" x14ac:dyDescent="0.25">
      <c r="A812" s="275"/>
      <c r="B812" s="292"/>
      <c r="C812" s="297" t="s">
        <v>531</v>
      </c>
      <c r="D812" s="298"/>
      <c r="E812" s="262">
        <v>28</v>
      </c>
      <c r="F812" s="8" t="s">
        <v>96</v>
      </c>
      <c r="H812" s="29"/>
    </row>
    <row r="813" spans="1:8" ht="15" customHeight="1" x14ac:dyDescent="0.25">
      <c r="A813" s="275"/>
      <c r="B813" s="292"/>
      <c r="C813" s="297" t="s">
        <v>532</v>
      </c>
      <c r="D813" s="298"/>
      <c r="E813" s="262">
        <v>49</v>
      </c>
      <c r="F813" s="8" t="s">
        <v>96</v>
      </c>
      <c r="H813" s="29"/>
    </row>
    <row r="814" spans="1:8" ht="15" customHeight="1" x14ac:dyDescent="0.25">
      <c r="A814" s="275"/>
      <c r="B814" s="292"/>
      <c r="C814" s="297" t="s">
        <v>533</v>
      </c>
      <c r="D814" s="298"/>
      <c r="E814" s="262">
        <v>21</v>
      </c>
      <c r="F814" s="8" t="s">
        <v>96</v>
      </c>
      <c r="H814" s="29"/>
    </row>
    <row r="815" spans="1:8" ht="15" customHeight="1" x14ac:dyDescent="0.25">
      <c r="A815" s="275"/>
      <c r="B815" s="292"/>
      <c r="C815" s="297" t="s">
        <v>563</v>
      </c>
      <c r="D815" s="298"/>
      <c r="E815" s="262">
        <v>28</v>
      </c>
      <c r="F815" s="8" t="s">
        <v>96</v>
      </c>
      <c r="H815" s="29"/>
    </row>
    <row r="816" spans="1:8" ht="15" customHeight="1" x14ac:dyDescent="0.25">
      <c r="A816" s="275"/>
      <c r="B816" s="292"/>
      <c r="C816" s="297" t="s">
        <v>564</v>
      </c>
      <c r="D816" s="298"/>
      <c r="E816" s="262">
        <v>49</v>
      </c>
      <c r="F816" s="8" t="s">
        <v>96</v>
      </c>
      <c r="H816" s="29"/>
    </row>
    <row r="817" spans="1:8" ht="15" customHeight="1" x14ac:dyDescent="0.25">
      <c r="A817" s="275"/>
      <c r="B817" s="292"/>
      <c r="C817" s="297" t="s">
        <v>565</v>
      </c>
      <c r="D817" s="298"/>
      <c r="E817" s="262">
        <v>18</v>
      </c>
      <c r="F817" s="8" t="s">
        <v>96</v>
      </c>
      <c r="H817" s="29"/>
    </row>
    <row r="818" spans="1:8" ht="17.100000000000001" customHeight="1" x14ac:dyDescent="0.25">
      <c r="A818" s="275"/>
      <c r="B818" s="292"/>
      <c r="C818" s="131" t="s">
        <v>537</v>
      </c>
      <c r="D818" s="132"/>
      <c r="E818" s="133">
        <f>IF(SUM(E812:E814)&gt;=300,1,2)</f>
        <v>2</v>
      </c>
      <c r="H818" s="29"/>
    </row>
    <row r="819" spans="1:8" ht="15" customHeight="1" x14ac:dyDescent="0.25">
      <c r="A819" s="275"/>
      <c r="B819" s="292"/>
      <c r="C819" s="297" t="s">
        <v>538</v>
      </c>
      <c r="D819" s="298"/>
      <c r="E819" s="75">
        <f>IF(SUM(E812:E814)&gt;0,SUM(E815:E817)/SUM(E812:E814),0)</f>
        <v>0.96938775510204078</v>
      </c>
      <c r="H819" s="29"/>
    </row>
    <row r="820" spans="1:8" ht="17.649999999999999" customHeight="1" x14ac:dyDescent="0.25">
      <c r="A820" s="275"/>
      <c r="B820" s="292"/>
      <c r="C820" s="74" t="s">
        <v>539</v>
      </c>
      <c r="D820" s="73"/>
      <c r="E820" s="134">
        <f>IF(E818=1,30%,50%-SUM(E812:E814)/300*20%)</f>
        <v>0.43466666666666665</v>
      </c>
      <c r="H820" s="29"/>
    </row>
    <row r="821" spans="1:8" ht="48.75" customHeight="1" x14ac:dyDescent="0.25">
      <c r="A821" s="275"/>
      <c r="B821" s="293"/>
      <c r="C821" s="330" t="s">
        <v>566</v>
      </c>
      <c r="D821" s="330"/>
      <c r="E821" s="130"/>
      <c r="H821" s="29"/>
    </row>
    <row r="822" spans="1:8" ht="30" customHeight="1" x14ac:dyDescent="0.25">
      <c r="A822" s="275"/>
      <c r="B822" s="293"/>
      <c r="C822" s="286" t="s">
        <v>567</v>
      </c>
      <c r="D822" s="115" t="s">
        <v>568</v>
      </c>
      <c r="E822" s="263">
        <v>0</v>
      </c>
      <c r="F822" s="8" t="s">
        <v>96</v>
      </c>
      <c r="H822" s="29"/>
    </row>
    <row r="823" spans="1:8" ht="29.1" customHeight="1" x14ac:dyDescent="0.25">
      <c r="A823" s="275"/>
      <c r="B823" s="293"/>
      <c r="C823" s="287"/>
      <c r="D823" s="115" t="s">
        <v>569</v>
      </c>
      <c r="E823" s="263">
        <v>1</v>
      </c>
      <c r="F823" s="8" t="s">
        <v>96</v>
      </c>
      <c r="H823" s="29"/>
    </row>
    <row r="824" spans="1:8" ht="29.1" customHeight="1" x14ac:dyDescent="0.25">
      <c r="A824" s="275"/>
      <c r="B824" s="293"/>
      <c r="C824" s="288"/>
      <c r="D824" s="115" t="s">
        <v>570</v>
      </c>
      <c r="E824" s="263">
        <v>27</v>
      </c>
      <c r="F824" s="8" t="s">
        <v>96</v>
      </c>
      <c r="H824" s="29"/>
    </row>
    <row r="825" spans="1:8" ht="30" customHeight="1" x14ac:dyDescent="0.25">
      <c r="A825" s="275"/>
      <c r="B825" s="293"/>
      <c r="C825" s="286" t="s">
        <v>571</v>
      </c>
      <c r="D825" s="115" t="s">
        <v>568</v>
      </c>
      <c r="E825" s="263">
        <v>0</v>
      </c>
      <c r="F825" s="8" t="s">
        <v>96</v>
      </c>
      <c r="H825" s="29"/>
    </row>
    <row r="826" spans="1:8" ht="29.1" customHeight="1" x14ac:dyDescent="0.25">
      <c r="A826" s="275"/>
      <c r="B826" s="293"/>
      <c r="C826" s="287"/>
      <c r="D826" s="115" t="s">
        <v>569</v>
      </c>
      <c r="E826" s="263">
        <v>2</v>
      </c>
      <c r="F826" s="8" t="s">
        <v>96</v>
      </c>
      <c r="H826" s="29"/>
    </row>
    <row r="827" spans="1:8" ht="29.1" customHeight="1" x14ac:dyDescent="0.25">
      <c r="A827" s="275"/>
      <c r="B827" s="293"/>
      <c r="C827" s="288"/>
      <c r="D827" s="115" t="s">
        <v>570</v>
      </c>
      <c r="E827" s="263">
        <v>46</v>
      </c>
      <c r="F827" s="8" t="s">
        <v>96</v>
      </c>
      <c r="H827" s="29"/>
    </row>
    <row r="828" spans="1:8" ht="30" customHeight="1" x14ac:dyDescent="0.25">
      <c r="A828" s="275"/>
      <c r="B828" s="293"/>
      <c r="C828" s="286" t="s">
        <v>572</v>
      </c>
      <c r="D828" s="115" t="s">
        <v>568</v>
      </c>
      <c r="E828" s="263">
        <v>0</v>
      </c>
      <c r="F828" s="8" t="s">
        <v>96</v>
      </c>
      <c r="H828" s="29"/>
    </row>
    <row r="829" spans="1:8" ht="29.1" customHeight="1" x14ac:dyDescent="0.25">
      <c r="A829" s="275"/>
      <c r="B829" s="293"/>
      <c r="C829" s="287"/>
      <c r="D829" s="115" t="s">
        <v>569</v>
      </c>
      <c r="E829" s="263">
        <v>0</v>
      </c>
      <c r="F829" s="8" t="s">
        <v>96</v>
      </c>
      <c r="H829" s="29"/>
    </row>
    <row r="830" spans="1:8" ht="29.1" customHeight="1" x14ac:dyDescent="0.25">
      <c r="A830" s="275"/>
      <c r="B830" s="293"/>
      <c r="C830" s="288"/>
      <c r="D830" s="115" t="s">
        <v>570</v>
      </c>
      <c r="E830" s="263">
        <v>18</v>
      </c>
      <c r="F830" s="8" t="s">
        <v>96</v>
      </c>
      <c r="H830" s="29"/>
    </row>
    <row r="831" spans="1:8" ht="15" customHeight="1" x14ac:dyDescent="0.25">
      <c r="A831" s="275"/>
      <c r="B831" s="293"/>
      <c r="C831" s="299" t="s">
        <v>573</v>
      </c>
      <c r="D831" s="300"/>
      <c r="E831" s="53">
        <f>IF(SUM(E822:E830)&gt;0,(E822+E825+E828)/SUM(E822:E830),0)</f>
        <v>0</v>
      </c>
      <c r="G831" s="41"/>
      <c r="H831" s="29"/>
    </row>
    <row r="832" spans="1:8" ht="15.75" customHeight="1" x14ac:dyDescent="0.25">
      <c r="A832" s="275"/>
      <c r="B832" s="293"/>
      <c r="C832" s="299" t="s">
        <v>574</v>
      </c>
      <c r="D832" s="300"/>
      <c r="E832" s="53">
        <f>IF(SUM(E822:E830)&gt;0,(E823+E826+E829)/SUM(E822:E830),0)</f>
        <v>3.1914893617021274E-2</v>
      </c>
      <c r="G832" s="41"/>
      <c r="H832" s="29"/>
    </row>
    <row r="833" spans="1:8" ht="15.75" customHeight="1" x14ac:dyDescent="0.25">
      <c r="A833" s="275"/>
      <c r="B833" s="293"/>
      <c r="C833" s="299" t="s">
        <v>575</v>
      </c>
      <c r="D833" s="300"/>
      <c r="E833" s="53">
        <f>IF(SUM(E822:E830)&gt;0,(E824+E827+E830)/SUM(E822:E830),0)</f>
        <v>0.96808510638297873</v>
      </c>
      <c r="G833" s="41"/>
      <c r="H833" s="29"/>
    </row>
    <row r="834" spans="1:8" ht="15.75" hidden="1" customHeight="1" x14ac:dyDescent="0.25">
      <c r="A834" s="275"/>
      <c r="B834" s="293"/>
      <c r="C834" s="139" t="s">
        <v>101</v>
      </c>
      <c r="D834" s="141">
        <v>0.05</v>
      </c>
      <c r="E834" s="117"/>
      <c r="G834" s="41"/>
      <c r="H834" s="29"/>
    </row>
    <row r="835" spans="1:8" ht="15.75" hidden="1" customHeight="1" x14ac:dyDescent="0.25">
      <c r="A835" s="275"/>
      <c r="B835" s="293"/>
      <c r="C835" s="139" t="s">
        <v>102</v>
      </c>
      <c r="D835" s="141">
        <v>0.2</v>
      </c>
      <c r="E835" s="117"/>
      <c r="G835" s="41"/>
      <c r="H835" s="29"/>
    </row>
    <row r="836" spans="1:8" ht="15.75" hidden="1" customHeight="1" x14ac:dyDescent="0.25">
      <c r="A836" s="275"/>
      <c r="B836" s="293"/>
      <c r="C836" s="139" t="s">
        <v>103</v>
      </c>
      <c r="D836" s="141">
        <v>0.9</v>
      </c>
      <c r="E836" s="117"/>
      <c r="G836" s="41"/>
      <c r="H836" s="29"/>
    </row>
    <row r="837" spans="1:8" ht="15.75" hidden="1" customHeight="1" x14ac:dyDescent="0.25">
      <c r="A837" s="275"/>
      <c r="B837" s="293"/>
      <c r="C837" s="119"/>
      <c r="D837" s="120" t="s">
        <v>234</v>
      </c>
      <c r="E837" s="121" t="str">
        <f>IF(E831&gt;=D834,"YES","NO")</f>
        <v>NO</v>
      </c>
      <c r="G837" s="41"/>
      <c r="H837" s="29"/>
    </row>
    <row r="838" spans="1:8" ht="15.75" hidden="1" customHeight="1" x14ac:dyDescent="0.25">
      <c r="A838" s="275"/>
      <c r="B838" s="293"/>
      <c r="C838" s="119"/>
      <c r="D838" s="120" t="s">
        <v>235</v>
      </c>
      <c r="E838" s="121" t="str">
        <f>IF(AND(E831&lt;D834,E832&gt;=D835),"YES","NO")</f>
        <v>NO</v>
      </c>
      <c r="G838" s="41"/>
      <c r="H838" s="29"/>
    </row>
    <row r="839" spans="1:8" ht="15.75" hidden="1" customHeight="1" x14ac:dyDescent="0.25">
      <c r="A839" s="275"/>
      <c r="B839" s="293"/>
      <c r="C839" s="119"/>
      <c r="D839" s="120" t="s">
        <v>236</v>
      </c>
      <c r="E839" s="121" t="str">
        <f>IF(OR(AND(E831&gt;0,E831&lt;D834,E832=0),AND(E832&gt;0,E832&lt;D835,E831=0),AND(E831&gt;0,E831&lt;D834,E832&gt;0,E832&lt;D835)),"YES","NO")</f>
        <v>YES</v>
      </c>
      <c r="G839" s="41"/>
      <c r="H839" s="29"/>
    </row>
    <row r="840" spans="1:8" ht="15.75" hidden="1" customHeight="1" x14ac:dyDescent="0.25">
      <c r="A840" s="275"/>
      <c r="B840" s="293"/>
      <c r="C840" s="119"/>
      <c r="D840" s="120" t="s">
        <v>491</v>
      </c>
      <c r="E840" s="121" t="str">
        <f>IF(AND(E831=0,E832=0,E833&gt;=D836),"YES","NO")</f>
        <v>NO</v>
      </c>
      <c r="G840" s="41"/>
      <c r="H840" s="29"/>
    </row>
    <row r="841" spans="1:8" ht="15.75" hidden="1" customHeight="1" x14ac:dyDescent="0.25">
      <c r="A841" s="275"/>
      <c r="B841" s="293"/>
      <c r="C841" s="119"/>
      <c r="D841" s="120" t="s">
        <v>492</v>
      </c>
      <c r="E841" s="142" t="str">
        <f>IF(AND(E831=0,E832=0,E833&lt;D836),"YES","NO")</f>
        <v>NO</v>
      </c>
      <c r="G841" s="41"/>
      <c r="H841" s="29"/>
    </row>
    <row r="842" spans="1:8" ht="15" customHeight="1" x14ac:dyDescent="0.25">
      <c r="A842" s="275"/>
      <c r="B842" s="292"/>
      <c r="C842" s="335" t="s">
        <v>551</v>
      </c>
      <c r="D842" s="335"/>
      <c r="E842" s="143">
        <f>IF(E837="YES",4,IF(E838="YES",3+E831/D834,IF(E839="YES",2+2*E831/D834+E832/D835-(E831*E832)/(D834*D835),IF(E840="YES",2,2*E833/D836))))</f>
        <v>2.1595744680851063</v>
      </c>
      <c r="H842" s="29"/>
    </row>
    <row r="843" spans="1:8" ht="15" customHeight="1" x14ac:dyDescent="0.25">
      <c r="A843" s="276"/>
      <c r="B843" s="369"/>
      <c r="C843" s="370" t="s">
        <v>36</v>
      </c>
      <c r="D843" s="370"/>
      <c r="E843" s="25">
        <f>IF(E819&gt;=E820,E842,E819/E820*E842)</f>
        <v>2.1595744680851063</v>
      </c>
      <c r="G843" s="38"/>
      <c r="H843" s="29"/>
    </row>
    <row r="844" spans="1:8" ht="15" customHeight="1" x14ac:dyDescent="0.25">
      <c r="C844" s="39"/>
      <c r="D844" s="67"/>
      <c r="H844" s="40"/>
    </row>
    <row r="845" spans="1:8" ht="29.25" customHeight="1" x14ac:dyDescent="0.25">
      <c r="A845" s="274">
        <v>63</v>
      </c>
      <c r="B845" s="291"/>
      <c r="C845" s="295" t="s">
        <v>576</v>
      </c>
      <c r="D845" s="296"/>
      <c r="E845" s="36"/>
      <c r="H845" s="265" t="s">
        <v>759</v>
      </c>
    </row>
    <row r="846" spans="1:8" ht="14.45" customHeight="1" x14ac:dyDescent="0.25">
      <c r="A846" s="275"/>
      <c r="B846" s="292"/>
      <c r="C846" s="297" t="s">
        <v>531</v>
      </c>
      <c r="D846" s="298"/>
      <c r="E846" s="262">
        <v>28</v>
      </c>
      <c r="F846" s="8" t="s">
        <v>96</v>
      </c>
      <c r="H846" s="29"/>
    </row>
    <row r="847" spans="1:8" ht="14.45" customHeight="1" x14ac:dyDescent="0.25">
      <c r="A847" s="275"/>
      <c r="B847" s="292"/>
      <c r="C847" s="297" t="s">
        <v>532</v>
      </c>
      <c r="D847" s="298"/>
      <c r="E847" s="262">
        <v>49</v>
      </c>
      <c r="F847" s="8" t="s">
        <v>96</v>
      </c>
      <c r="H847" s="29"/>
    </row>
    <row r="848" spans="1:8" ht="14.45" customHeight="1" x14ac:dyDescent="0.25">
      <c r="A848" s="275"/>
      <c r="B848" s="292"/>
      <c r="C848" s="297" t="s">
        <v>533</v>
      </c>
      <c r="D848" s="298"/>
      <c r="E848" s="262">
        <v>21</v>
      </c>
      <c r="F848" s="8" t="s">
        <v>96</v>
      </c>
      <c r="H848" s="29"/>
    </row>
    <row r="849" spans="1:8" ht="15" customHeight="1" x14ac:dyDescent="0.25">
      <c r="A849" s="275"/>
      <c r="B849" s="292"/>
      <c r="C849" s="297" t="s">
        <v>577</v>
      </c>
      <c r="D849" s="298"/>
      <c r="E849" s="262">
        <v>80</v>
      </c>
      <c r="F849" s="8" t="s">
        <v>96</v>
      </c>
      <c r="H849" s="29"/>
    </row>
    <row r="850" spans="1:8" ht="15" customHeight="1" x14ac:dyDescent="0.25">
      <c r="A850" s="275"/>
      <c r="B850" s="292"/>
      <c r="C850" s="297" t="s">
        <v>578</v>
      </c>
      <c r="D850" s="298"/>
      <c r="E850" s="262">
        <v>80</v>
      </c>
      <c r="F850" s="8" t="s">
        <v>96</v>
      </c>
      <c r="H850" s="29"/>
    </row>
    <row r="851" spans="1:8" ht="15" customHeight="1" x14ac:dyDescent="0.25">
      <c r="A851" s="275"/>
      <c r="B851" s="292"/>
      <c r="C851" s="297" t="s">
        <v>579</v>
      </c>
      <c r="D851" s="298"/>
      <c r="E851" s="262">
        <v>86</v>
      </c>
      <c r="F851" s="8" t="s">
        <v>96</v>
      </c>
      <c r="H851" s="29"/>
    </row>
    <row r="852" spans="1:8" ht="17.100000000000001" customHeight="1" x14ac:dyDescent="0.25">
      <c r="A852" s="275"/>
      <c r="B852" s="292"/>
      <c r="C852" s="131" t="s">
        <v>537</v>
      </c>
      <c r="D852" s="132"/>
      <c r="E852" s="133">
        <f>IF(SUM(E846:E848)&gt;=300,1,2)</f>
        <v>2</v>
      </c>
      <c r="H852" s="29"/>
    </row>
    <row r="853" spans="1:8" ht="15" customHeight="1" x14ac:dyDescent="0.25">
      <c r="A853" s="275"/>
      <c r="B853" s="292"/>
      <c r="C853" s="297" t="s">
        <v>580</v>
      </c>
      <c r="D853" s="298"/>
      <c r="E853" s="75">
        <f>IF(SUM(E846:E848)&gt;0,SUM(E849:E851)/SUM(E846:E848),0)</f>
        <v>2.510204081632653</v>
      </c>
      <c r="H853" s="29"/>
    </row>
    <row r="854" spans="1:8" ht="17.649999999999999" customHeight="1" x14ac:dyDescent="0.25">
      <c r="A854" s="275"/>
      <c r="B854" s="292"/>
      <c r="C854" s="74" t="s">
        <v>539</v>
      </c>
      <c r="D854" s="73"/>
      <c r="E854" s="134">
        <f>IF(E852=1,30%,50%-SUM(E846:E848)/300*20%)</f>
        <v>0.43466666666666665</v>
      </c>
      <c r="H854" s="29"/>
    </row>
    <row r="855" spans="1:8" ht="44.45" customHeight="1" x14ac:dyDescent="0.25">
      <c r="A855" s="275"/>
      <c r="B855" s="293"/>
      <c r="C855" s="323" t="s">
        <v>581</v>
      </c>
      <c r="D855" s="323"/>
      <c r="E855" s="36"/>
      <c r="H855" s="29"/>
    </row>
    <row r="856" spans="1:8" ht="15.75" customHeight="1" x14ac:dyDescent="0.25">
      <c r="A856" s="275"/>
      <c r="B856" s="293"/>
      <c r="C856" s="359" t="s">
        <v>582</v>
      </c>
      <c r="D856" s="69" t="s">
        <v>425</v>
      </c>
      <c r="E856" s="258">
        <v>0.8</v>
      </c>
      <c r="F856" s="8" t="s">
        <v>96</v>
      </c>
      <c r="H856" s="29"/>
    </row>
    <row r="857" spans="1:8" ht="15" customHeight="1" x14ac:dyDescent="0.25">
      <c r="A857" s="275"/>
      <c r="B857" s="293"/>
      <c r="C857" s="360"/>
      <c r="D857" s="69" t="s">
        <v>426</v>
      </c>
      <c r="E857" s="258">
        <v>0.2</v>
      </c>
      <c r="F857" s="8" t="s">
        <v>96</v>
      </c>
      <c r="H857" s="29"/>
    </row>
    <row r="858" spans="1:8" ht="15" customHeight="1" x14ac:dyDescent="0.25">
      <c r="A858" s="275"/>
      <c r="B858" s="293"/>
      <c r="C858" s="360"/>
      <c r="D858" s="69" t="s">
        <v>427</v>
      </c>
      <c r="E858" s="258">
        <v>0</v>
      </c>
      <c r="F858" s="8" t="s">
        <v>96</v>
      </c>
      <c r="H858" s="29"/>
    </row>
    <row r="859" spans="1:8" ht="15" customHeight="1" x14ac:dyDescent="0.25">
      <c r="A859" s="275"/>
      <c r="B859" s="293"/>
      <c r="C859" s="360"/>
      <c r="D859" s="69" t="s">
        <v>428</v>
      </c>
      <c r="E859" s="258">
        <v>0</v>
      </c>
      <c r="F859" s="8" t="s">
        <v>96</v>
      </c>
      <c r="H859" s="29"/>
    </row>
    <row r="860" spans="1:8" ht="15" customHeight="1" x14ac:dyDescent="0.25">
      <c r="A860" s="275"/>
      <c r="B860" s="293"/>
      <c r="C860" s="361"/>
      <c r="D860" s="70" t="s">
        <v>583</v>
      </c>
      <c r="E860" s="54">
        <f>IF((4*E856+3*E857+2*E858+E859)&gt;4,0,4*E856+3*E857+2*E858+E859)</f>
        <v>3.8000000000000003</v>
      </c>
      <c r="H860" s="29"/>
    </row>
    <row r="861" spans="1:8" ht="15.75" customHeight="1" x14ac:dyDescent="0.25">
      <c r="A861" s="275"/>
      <c r="B861" s="293"/>
      <c r="C861" s="359" t="s">
        <v>584</v>
      </c>
      <c r="D861" s="69" t="s">
        <v>425</v>
      </c>
      <c r="E861" s="258">
        <v>0.83</v>
      </c>
      <c r="F861" s="8" t="s">
        <v>96</v>
      </c>
      <c r="H861" s="29"/>
    </row>
    <row r="862" spans="1:8" ht="15" customHeight="1" x14ac:dyDescent="0.25">
      <c r="A862" s="275"/>
      <c r="B862" s="293"/>
      <c r="C862" s="360"/>
      <c r="D862" s="69" t="s">
        <v>426</v>
      </c>
      <c r="E862" s="258">
        <v>0.17</v>
      </c>
      <c r="F862" s="8" t="s">
        <v>96</v>
      </c>
      <c r="H862" s="29"/>
    </row>
    <row r="863" spans="1:8" ht="15" customHeight="1" x14ac:dyDescent="0.25">
      <c r="A863" s="275"/>
      <c r="B863" s="293"/>
      <c r="C863" s="360"/>
      <c r="D863" s="69" t="s">
        <v>427</v>
      </c>
      <c r="E863" s="258">
        <v>0</v>
      </c>
      <c r="F863" s="8" t="s">
        <v>96</v>
      </c>
      <c r="H863" s="29"/>
    </row>
    <row r="864" spans="1:8" ht="15" customHeight="1" x14ac:dyDescent="0.25">
      <c r="A864" s="275"/>
      <c r="B864" s="293"/>
      <c r="C864" s="360"/>
      <c r="D864" s="69" t="s">
        <v>428</v>
      </c>
      <c r="E864" s="258">
        <v>0</v>
      </c>
      <c r="F864" s="8" t="s">
        <v>96</v>
      </c>
      <c r="H864" s="29"/>
    </row>
    <row r="865" spans="1:8" ht="15" customHeight="1" x14ac:dyDescent="0.25">
      <c r="A865" s="275"/>
      <c r="B865" s="293"/>
      <c r="C865" s="361"/>
      <c r="D865" s="70" t="s">
        <v>585</v>
      </c>
      <c r="E865" s="54">
        <f>IF((4*E861+3*E862+2*E863+E864)&gt;4,0,4*E861+3*E862+2*E863+E864)</f>
        <v>3.83</v>
      </c>
      <c r="H865" s="29"/>
    </row>
    <row r="866" spans="1:8" ht="15.75" customHeight="1" x14ac:dyDescent="0.25">
      <c r="A866" s="275"/>
      <c r="B866" s="293"/>
      <c r="C866" s="359" t="s">
        <v>586</v>
      </c>
      <c r="D866" s="69" t="s">
        <v>425</v>
      </c>
      <c r="E866" s="258">
        <v>0.8</v>
      </c>
      <c r="F866" s="8" t="s">
        <v>96</v>
      </c>
      <c r="H866" s="29"/>
    </row>
    <row r="867" spans="1:8" ht="15" customHeight="1" x14ac:dyDescent="0.25">
      <c r="A867" s="275"/>
      <c r="B867" s="293"/>
      <c r="C867" s="360"/>
      <c r="D867" s="69" t="s">
        <v>426</v>
      </c>
      <c r="E867" s="258">
        <v>0.2</v>
      </c>
      <c r="F867" s="8" t="s">
        <v>96</v>
      </c>
      <c r="H867" s="29"/>
    </row>
    <row r="868" spans="1:8" ht="15" customHeight="1" x14ac:dyDescent="0.25">
      <c r="A868" s="275"/>
      <c r="B868" s="293"/>
      <c r="C868" s="360"/>
      <c r="D868" s="69" t="s">
        <v>427</v>
      </c>
      <c r="E868" s="258">
        <v>0</v>
      </c>
      <c r="F868" s="8" t="s">
        <v>96</v>
      </c>
      <c r="H868" s="29"/>
    </row>
    <row r="869" spans="1:8" ht="15" customHeight="1" x14ac:dyDescent="0.25">
      <c r="A869" s="275"/>
      <c r="B869" s="293"/>
      <c r="C869" s="360"/>
      <c r="D869" s="69" t="s">
        <v>428</v>
      </c>
      <c r="E869" s="258">
        <v>0</v>
      </c>
      <c r="F869" s="8" t="s">
        <v>96</v>
      </c>
      <c r="H869" s="29"/>
    </row>
    <row r="870" spans="1:8" ht="15" customHeight="1" x14ac:dyDescent="0.25">
      <c r="A870" s="275"/>
      <c r="B870" s="293"/>
      <c r="C870" s="361"/>
      <c r="D870" s="70" t="s">
        <v>587</v>
      </c>
      <c r="E870" s="54">
        <f>IF((4*E866+3*E867+2*E868+E869)&gt;4,0,4*E866+3*E867+2*E868+E869)</f>
        <v>3.8000000000000003</v>
      </c>
      <c r="H870" s="29"/>
    </row>
    <row r="871" spans="1:8" ht="15.75" customHeight="1" x14ac:dyDescent="0.25">
      <c r="A871" s="275"/>
      <c r="B871" s="293"/>
      <c r="C871" s="356" t="s">
        <v>588</v>
      </c>
      <c r="D871" s="69" t="s">
        <v>425</v>
      </c>
      <c r="E871" s="258">
        <v>0.85</v>
      </c>
      <c r="F871" s="8" t="s">
        <v>96</v>
      </c>
      <c r="H871" s="29"/>
    </row>
    <row r="872" spans="1:8" ht="15" customHeight="1" x14ac:dyDescent="0.25">
      <c r="A872" s="275"/>
      <c r="B872" s="293"/>
      <c r="C872" s="357"/>
      <c r="D872" s="69" t="s">
        <v>426</v>
      </c>
      <c r="E872" s="258">
        <v>0.15</v>
      </c>
      <c r="F872" s="8" t="s">
        <v>96</v>
      </c>
      <c r="H872" s="29"/>
    </row>
    <row r="873" spans="1:8" ht="15" customHeight="1" x14ac:dyDescent="0.25">
      <c r="A873" s="275"/>
      <c r="B873" s="293"/>
      <c r="C873" s="357"/>
      <c r="D873" s="69" t="s">
        <v>427</v>
      </c>
      <c r="E873" s="258">
        <v>0</v>
      </c>
      <c r="F873" s="8" t="s">
        <v>96</v>
      </c>
      <c r="H873" s="29"/>
    </row>
    <row r="874" spans="1:8" ht="15" customHeight="1" x14ac:dyDescent="0.25">
      <c r="A874" s="275"/>
      <c r="B874" s="293"/>
      <c r="C874" s="357"/>
      <c r="D874" s="69" t="s">
        <v>428</v>
      </c>
      <c r="E874" s="258">
        <v>0</v>
      </c>
      <c r="F874" s="8" t="s">
        <v>96</v>
      </c>
      <c r="H874" s="29"/>
    </row>
    <row r="875" spans="1:8" ht="15" customHeight="1" x14ac:dyDescent="0.25">
      <c r="A875" s="275"/>
      <c r="B875" s="293"/>
      <c r="C875" s="358"/>
      <c r="D875" s="70" t="s">
        <v>589</v>
      </c>
      <c r="E875" s="54">
        <f>IF((4*E871+3*E872+2*E873+E874)&gt;4,0,4*E871+3*E872+2*E873+E874)</f>
        <v>3.8499999999999996</v>
      </c>
      <c r="H875" s="29"/>
    </row>
    <row r="876" spans="1:8" ht="15.75" customHeight="1" x14ac:dyDescent="0.25">
      <c r="A876" s="275"/>
      <c r="B876" s="293"/>
      <c r="C876" s="359" t="s">
        <v>590</v>
      </c>
      <c r="D876" s="69" t="s">
        <v>425</v>
      </c>
      <c r="E876" s="258">
        <v>0.87</v>
      </c>
      <c r="F876" s="8" t="s">
        <v>96</v>
      </c>
      <c r="H876" s="29"/>
    </row>
    <row r="877" spans="1:8" ht="15" customHeight="1" x14ac:dyDescent="0.25">
      <c r="A877" s="275"/>
      <c r="B877" s="293"/>
      <c r="C877" s="360"/>
      <c r="D877" s="69" t="s">
        <v>426</v>
      </c>
      <c r="E877" s="258">
        <v>0.13</v>
      </c>
      <c r="F877" s="8" t="s">
        <v>96</v>
      </c>
      <c r="H877" s="29"/>
    </row>
    <row r="878" spans="1:8" ht="15" customHeight="1" x14ac:dyDescent="0.25">
      <c r="A878" s="275"/>
      <c r="B878" s="293"/>
      <c r="C878" s="360"/>
      <c r="D878" s="69" t="s">
        <v>427</v>
      </c>
      <c r="E878" s="258">
        <v>0</v>
      </c>
      <c r="F878" s="8" t="s">
        <v>96</v>
      </c>
      <c r="H878" s="29"/>
    </row>
    <row r="879" spans="1:8" ht="15" customHeight="1" x14ac:dyDescent="0.25">
      <c r="A879" s="275"/>
      <c r="B879" s="293"/>
      <c r="C879" s="360"/>
      <c r="D879" s="69" t="s">
        <v>428</v>
      </c>
      <c r="E879" s="258">
        <v>0</v>
      </c>
      <c r="F879" s="8" t="s">
        <v>96</v>
      </c>
      <c r="H879" s="29"/>
    </row>
    <row r="880" spans="1:8" ht="15" customHeight="1" x14ac:dyDescent="0.25">
      <c r="A880" s="275"/>
      <c r="B880" s="293"/>
      <c r="C880" s="361"/>
      <c r="D880" s="70" t="s">
        <v>591</v>
      </c>
      <c r="E880" s="54">
        <f>IF((4*E876+3*E877+2*E878+E879)&gt;4,0,4*E876+3*E877+2*E878+E879)</f>
        <v>3.87</v>
      </c>
      <c r="H880" s="29"/>
    </row>
    <row r="881" spans="1:8" ht="15.75" customHeight="1" x14ac:dyDescent="0.25">
      <c r="A881" s="275"/>
      <c r="B881" s="293"/>
      <c r="C881" s="359" t="s">
        <v>592</v>
      </c>
      <c r="D881" s="69" t="s">
        <v>425</v>
      </c>
      <c r="E881" s="258">
        <v>0.87</v>
      </c>
      <c r="F881" s="8" t="s">
        <v>96</v>
      </c>
      <c r="H881" s="29"/>
    </row>
    <row r="882" spans="1:8" ht="15" customHeight="1" x14ac:dyDescent="0.25">
      <c r="A882" s="275"/>
      <c r="B882" s="293"/>
      <c r="C882" s="360"/>
      <c r="D882" s="69" t="s">
        <v>426</v>
      </c>
      <c r="E882" s="258">
        <v>0.13</v>
      </c>
      <c r="F882" s="8" t="s">
        <v>96</v>
      </c>
      <c r="H882" s="29"/>
    </row>
    <row r="883" spans="1:8" ht="15" customHeight="1" x14ac:dyDescent="0.25">
      <c r="A883" s="275"/>
      <c r="B883" s="293"/>
      <c r="C883" s="360"/>
      <c r="D883" s="69" t="s">
        <v>427</v>
      </c>
      <c r="E883" s="258">
        <v>0</v>
      </c>
      <c r="F883" s="8" t="s">
        <v>96</v>
      </c>
      <c r="H883" s="29"/>
    </row>
    <row r="884" spans="1:8" ht="15" customHeight="1" x14ac:dyDescent="0.25">
      <c r="A884" s="275"/>
      <c r="B884" s="293"/>
      <c r="C884" s="360"/>
      <c r="D884" s="69" t="s">
        <v>428</v>
      </c>
      <c r="E884" s="258">
        <v>0</v>
      </c>
      <c r="F884" s="8" t="s">
        <v>96</v>
      </c>
      <c r="H884" s="29"/>
    </row>
    <row r="885" spans="1:8" ht="15" customHeight="1" x14ac:dyDescent="0.25">
      <c r="A885" s="275"/>
      <c r="B885" s="293"/>
      <c r="C885" s="361"/>
      <c r="D885" s="70" t="s">
        <v>593</v>
      </c>
      <c r="E885" s="54">
        <f>IF((4*E881+3*E882+2*E883+E884)&gt;4,0,4*E881+3*E882+2*E883+E884)</f>
        <v>3.87</v>
      </c>
      <c r="H885" s="29"/>
    </row>
    <row r="886" spans="1:8" ht="15.75" customHeight="1" x14ac:dyDescent="0.25">
      <c r="A886" s="275"/>
      <c r="B886" s="293"/>
      <c r="C886" s="356" t="s">
        <v>594</v>
      </c>
      <c r="D886" s="69" t="s">
        <v>425</v>
      </c>
      <c r="E886" s="258">
        <v>0.8</v>
      </c>
      <c r="F886" s="8" t="s">
        <v>96</v>
      </c>
      <c r="H886" s="29"/>
    </row>
    <row r="887" spans="1:8" ht="15" customHeight="1" x14ac:dyDescent="0.25">
      <c r="A887" s="275"/>
      <c r="B887" s="293"/>
      <c r="C887" s="357"/>
      <c r="D887" s="69" t="s">
        <v>426</v>
      </c>
      <c r="E887" s="258">
        <v>0.2</v>
      </c>
      <c r="F887" s="8" t="s">
        <v>96</v>
      </c>
      <c r="H887" s="29"/>
    </row>
    <row r="888" spans="1:8" ht="15" customHeight="1" x14ac:dyDescent="0.25">
      <c r="A888" s="275"/>
      <c r="B888" s="293"/>
      <c r="C888" s="357"/>
      <c r="D888" s="69" t="s">
        <v>427</v>
      </c>
      <c r="E888" s="258">
        <v>0</v>
      </c>
      <c r="F888" s="8" t="s">
        <v>96</v>
      </c>
      <c r="H888" s="29"/>
    </row>
    <row r="889" spans="1:8" ht="15" customHeight="1" x14ac:dyDescent="0.25">
      <c r="A889" s="275"/>
      <c r="B889" s="293"/>
      <c r="C889" s="357"/>
      <c r="D889" s="69" t="s">
        <v>428</v>
      </c>
      <c r="E889" s="258">
        <v>0</v>
      </c>
      <c r="F889" s="8" t="s">
        <v>96</v>
      </c>
      <c r="H889" s="29"/>
    </row>
    <row r="890" spans="1:8" ht="15" customHeight="1" x14ac:dyDescent="0.25">
      <c r="A890" s="275"/>
      <c r="B890" s="293"/>
      <c r="C890" s="358"/>
      <c r="D890" s="70" t="s">
        <v>595</v>
      </c>
      <c r="E890" s="54">
        <f>IF((4*E886+3*E887+2*E888+E889)&gt;4,0,4*E886+3*E887+2*E888+E889)</f>
        <v>3.8000000000000003</v>
      </c>
      <c r="H890" s="29"/>
    </row>
    <row r="891" spans="1:8" ht="15" customHeight="1" x14ac:dyDescent="0.25">
      <c r="A891" s="275"/>
      <c r="B891" s="293"/>
      <c r="C891" s="299" t="s">
        <v>551</v>
      </c>
      <c r="D891" s="300"/>
      <c r="E891" s="59">
        <f>(E860+E865+E870+E875+E880+E885+E890)/7</f>
        <v>3.8314285714285718</v>
      </c>
      <c r="H891" s="29"/>
    </row>
    <row r="892" spans="1:8" ht="15" customHeight="1" x14ac:dyDescent="0.25">
      <c r="A892" s="276"/>
      <c r="B892" s="294"/>
      <c r="C892" s="289" t="s">
        <v>36</v>
      </c>
      <c r="D892" s="290"/>
      <c r="E892" s="25">
        <f>IF(E853&gt;=E854,E891,E853/E854*E891)</f>
        <v>3.8314285714285718</v>
      </c>
      <c r="H892" s="29"/>
    </row>
    <row r="893" spans="1:8" ht="15" customHeight="1" x14ac:dyDescent="0.25">
      <c r="C893" s="39"/>
      <c r="D893" s="67"/>
      <c r="H893" s="40"/>
    </row>
    <row r="894" spans="1:8" ht="65.45" customHeight="1" x14ac:dyDescent="0.25">
      <c r="A894" s="274">
        <v>64</v>
      </c>
      <c r="B894" s="322" t="s">
        <v>596</v>
      </c>
      <c r="C894" s="323" t="s">
        <v>597</v>
      </c>
      <c r="D894" s="323"/>
      <c r="E894" s="190"/>
      <c r="H894" s="265" t="s">
        <v>734</v>
      </c>
    </row>
    <row r="895" spans="1:8" ht="15" customHeight="1" x14ac:dyDescent="0.25">
      <c r="A895" s="275"/>
      <c r="B895" s="293"/>
      <c r="C895" s="299" t="s">
        <v>244</v>
      </c>
      <c r="D895" s="300"/>
      <c r="E895" s="260">
        <v>8</v>
      </c>
      <c r="F895" s="8" t="s">
        <v>96</v>
      </c>
      <c r="G895" s="37"/>
      <c r="H895" s="29"/>
    </row>
    <row r="896" spans="1:8" ht="15" customHeight="1" x14ac:dyDescent="0.25">
      <c r="A896" s="275"/>
      <c r="B896" s="293"/>
      <c r="C896" s="299" t="s">
        <v>245</v>
      </c>
      <c r="D896" s="300"/>
      <c r="E896" s="260">
        <v>0</v>
      </c>
      <c r="F896" s="8" t="s">
        <v>96</v>
      </c>
      <c r="G896" s="37"/>
      <c r="H896" s="29"/>
    </row>
    <row r="897" spans="1:8" ht="15" customHeight="1" x14ac:dyDescent="0.25">
      <c r="A897" s="275"/>
      <c r="B897" s="293"/>
      <c r="C897" s="299" t="s">
        <v>246</v>
      </c>
      <c r="D897" s="300"/>
      <c r="E897" s="260">
        <v>0</v>
      </c>
      <c r="F897" s="8" t="s">
        <v>96</v>
      </c>
      <c r="G897" s="37"/>
      <c r="H897" s="29"/>
    </row>
    <row r="898" spans="1:8" ht="15" customHeight="1" x14ac:dyDescent="0.25">
      <c r="A898" s="275"/>
      <c r="B898" s="293"/>
      <c r="C898" s="299" t="s">
        <v>247</v>
      </c>
      <c r="D898" s="300"/>
      <c r="E898" s="260">
        <v>0</v>
      </c>
      <c r="F898" s="8" t="s">
        <v>96</v>
      </c>
      <c r="G898" s="37"/>
      <c r="H898" s="29"/>
    </row>
    <row r="899" spans="1:8" ht="15" customHeight="1" x14ac:dyDescent="0.25">
      <c r="A899" s="275"/>
      <c r="B899" s="293"/>
      <c r="C899" s="299" t="s">
        <v>248</v>
      </c>
      <c r="D899" s="300"/>
      <c r="E899" s="260">
        <v>5</v>
      </c>
      <c r="F899" s="8" t="s">
        <v>96</v>
      </c>
      <c r="G899" s="37"/>
      <c r="H899" s="29"/>
    </row>
    <row r="900" spans="1:8" ht="15" customHeight="1" x14ac:dyDescent="0.25">
      <c r="A900" s="275"/>
      <c r="B900" s="293"/>
      <c r="C900" s="299" t="s">
        <v>249</v>
      </c>
      <c r="D900" s="300"/>
      <c r="E900" s="260">
        <v>0</v>
      </c>
      <c r="F900" s="8" t="s">
        <v>96</v>
      </c>
      <c r="G900" s="37"/>
      <c r="H900" s="29"/>
    </row>
    <row r="901" spans="1:8" ht="15" customHeight="1" x14ac:dyDescent="0.25">
      <c r="A901" s="275"/>
      <c r="B901" s="293"/>
      <c r="C901" s="299" t="s">
        <v>250</v>
      </c>
      <c r="D901" s="300"/>
      <c r="E901" s="260">
        <v>0</v>
      </c>
      <c r="F901" s="8" t="s">
        <v>96</v>
      </c>
      <c r="G901" s="37"/>
      <c r="H901" s="29"/>
    </row>
    <row r="902" spans="1:8" ht="15" customHeight="1" x14ac:dyDescent="0.25">
      <c r="A902" s="275"/>
      <c r="B902" s="293"/>
      <c r="C902" s="299" t="s">
        <v>251</v>
      </c>
      <c r="D902" s="300"/>
      <c r="E902" s="260">
        <v>0</v>
      </c>
      <c r="F902" s="8" t="s">
        <v>96</v>
      </c>
      <c r="G902" s="37"/>
      <c r="H902" s="29"/>
    </row>
    <row r="903" spans="1:8" ht="15" customHeight="1" x14ac:dyDescent="0.25">
      <c r="A903" s="275"/>
      <c r="B903" s="293"/>
      <c r="C903" s="299" t="s">
        <v>252</v>
      </c>
      <c r="D903" s="300"/>
      <c r="E903" s="260">
        <v>0</v>
      </c>
      <c r="F903" s="8" t="s">
        <v>96</v>
      </c>
      <c r="G903" s="37"/>
      <c r="H903" s="29"/>
    </row>
    <row r="904" spans="1:8" ht="15" customHeight="1" x14ac:dyDescent="0.25">
      <c r="A904" s="275"/>
      <c r="B904" s="293"/>
      <c r="C904" s="299" t="s">
        <v>253</v>
      </c>
      <c r="D904" s="300"/>
      <c r="E904" s="260">
        <v>0</v>
      </c>
      <c r="F904" s="8" t="s">
        <v>96</v>
      </c>
      <c r="G904" s="37"/>
      <c r="H904" s="29"/>
    </row>
    <row r="905" spans="1:8" ht="15" customHeight="1" x14ac:dyDescent="0.25">
      <c r="A905" s="275"/>
      <c r="B905" s="293"/>
      <c r="C905" s="299" t="s">
        <v>598</v>
      </c>
      <c r="D905" s="300"/>
      <c r="E905" s="260">
        <v>11</v>
      </c>
      <c r="F905" s="8" t="s">
        <v>96</v>
      </c>
      <c r="G905" s="37"/>
      <c r="H905" s="29"/>
    </row>
    <row r="906" spans="1:8" ht="15" customHeight="1" x14ac:dyDescent="0.25">
      <c r="A906" s="275"/>
      <c r="B906" s="293"/>
      <c r="C906" s="299" t="s">
        <v>254</v>
      </c>
      <c r="D906" s="300"/>
      <c r="E906" s="180">
        <f>IF(E905&gt;0,(E898+E901+E904)/E905,0)</f>
        <v>0</v>
      </c>
      <c r="G906" s="41"/>
      <c r="H906" s="29"/>
    </row>
    <row r="907" spans="1:8" ht="15.75" customHeight="1" x14ac:dyDescent="0.25">
      <c r="A907" s="275"/>
      <c r="B907" s="293"/>
      <c r="C907" s="299" t="s">
        <v>255</v>
      </c>
      <c r="D907" s="300"/>
      <c r="E907" s="180">
        <f>IF(E905&gt;0,(E896+E897+E900+E903)/E905,0)</f>
        <v>0</v>
      </c>
      <c r="G907" s="41"/>
      <c r="H907" s="29"/>
    </row>
    <row r="908" spans="1:8" ht="15.75" customHeight="1" x14ac:dyDescent="0.25">
      <c r="A908" s="275"/>
      <c r="B908" s="293"/>
      <c r="C908" s="299" t="s">
        <v>256</v>
      </c>
      <c r="D908" s="300"/>
      <c r="E908" s="180">
        <f>IF(E905&gt;0,(E895+E899+E902)/E905,0)</f>
        <v>1.1818181818181819</v>
      </c>
      <c r="G908" s="41"/>
      <c r="H908" s="29"/>
    </row>
    <row r="909" spans="1:8" ht="15.75" hidden="1" customHeight="1" x14ac:dyDescent="0.25">
      <c r="A909" s="275"/>
      <c r="B909" s="293"/>
      <c r="C909" s="162" t="s">
        <v>101</v>
      </c>
      <c r="D909" s="195">
        <v>0.01</v>
      </c>
      <c r="E909" s="117"/>
      <c r="G909" s="41"/>
      <c r="H909" s="29"/>
    </row>
    <row r="910" spans="1:8" ht="15.75" hidden="1" customHeight="1" x14ac:dyDescent="0.25">
      <c r="A910" s="275"/>
      <c r="B910" s="293"/>
      <c r="C910" s="162" t="s">
        <v>102</v>
      </c>
      <c r="D910" s="195">
        <v>0.1</v>
      </c>
      <c r="E910" s="117"/>
      <c r="G910" s="41"/>
      <c r="H910" s="29"/>
    </row>
    <row r="911" spans="1:8" ht="15.75" hidden="1" customHeight="1" x14ac:dyDescent="0.25">
      <c r="A911" s="275"/>
      <c r="B911" s="293"/>
      <c r="C911" s="162" t="s">
        <v>103</v>
      </c>
      <c r="D911" s="195">
        <v>0.5</v>
      </c>
      <c r="E911" s="117"/>
      <c r="G911" s="41"/>
      <c r="H911" s="29"/>
    </row>
    <row r="912" spans="1:8" ht="15.75" hidden="1" customHeight="1" x14ac:dyDescent="0.25">
      <c r="A912" s="275"/>
      <c r="B912" s="293"/>
      <c r="C912" s="119"/>
      <c r="D912" s="120" t="s">
        <v>234</v>
      </c>
      <c r="E912" s="121" t="str">
        <f>IF(E906&gt;=D909,"YES","NO")</f>
        <v>NO</v>
      </c>
      <c r="G912" s="41"/>
      <c r="H912" s="29"/>
    </row>
    <row r="913" spans="1:8" ht="15.75" hidden="1" customHeight="1" x14ac:dyDescent="0.25">
      <c r="A913" s="275"/>
      <c r="B913" s="293"/>
      <c r="C913" s="119"/>
      <c r="D913" s="120" t="s">
        <v>235</v>
      </c>
      <c r="E913" s="121" t="str">
        <f>IF(AND(E906&lt;D909,E907&gt;=D910),"YES","NO")</f>
        <v>NO</v>
      </c>
      <c r="G913" s="41"/>
      <c r="H913" s="29"/>
    </row>
    <row r="914" spans="1:8" ht="15.75" hidden="1" customHeight="1" x14ac:dyDescent="0.25">
      <c r="A914" s="275"/>
      <c r="B914" s="293"/>
      <c r="C914" s="119"/>
      <c r="D914" s="120" t="s">
        <v>236</v>
      </c>
      <c r="E914" s="121" t="str">
        <f>IF(OR(AND(E906&gt;0,E906&lt;D909,E907=0),AND(E907&gt;0,E907&lt;D910,E906=0),AND(E906&gt;0,E906&lt;D909,E907&gt;0,E907&lt;D910)),"YES","NO")</f>
        <v>NO</v>
      </c>
      <c r="G914" s="41"/>
      <c r="H914" s="29"/>
    </row>
    <row r="915" spans="1:8" ht="15.75" hidden="1" customHeight="1" x14ac:dyDescent="0.25">
      <c r="A915" s="275"/>
      <c r="B915" s="293"/>
      <c r="C915" s="119"/>
      <c r="D915" s="120" t="s">
        <v>237</v>
      </c>
      <c r="E915" s="121" t="str">
        <f>IF(AND(E906=0,E907=0,E908&gt;=D911),"YES","NO")</f>
        <v>YES</v>
      </c>
      <c r="G915" s="41"/>
      <c r="H915" s="29"/>
    </row>
    <row r="916" spans="1:8" ht="15.75" hidden="1" customHeight="1" x14ac:dyDescent="0.25">
      <c r="A916" s="275"/>
      <c r="B916" s="293"/>
      <c r="C916" s="119"/>
      <c r="D916" s="120" t="s">
        <v>238</v>
      </c>
      <c r="E916" s="121" t="str">
        <f>IF(AND(E906=0,E907=0,E908&lt;D911),"YES","NO")</f>
        <v>NO</v>
      </c>
      <c r="G916" s="41"/>
      <c r="H916" s="29"/>
    </row>
    <row r="917" spans="1:8" ht="15" customHeight="1" x14ac:dyDescent="0.25">
      <c r="A917" s="276"/>
      <c r="B917" s="294"/>
      <c r="C917" s="283" t="s">
        <v>36</v>
      </c>
      <c r="D917" s="324"/>
      <c r="E917" s="184">
        <f>IF(E912="YES",4,IF(E913="YES",3+E906/D909,IF(E914="YES",2+2*E906/D909+E907/D910-(E906*E907)/(D909*D910),IF(E915="YES",2,2*E908/D911))))</f>
        <v>2</v>
      </c>
      <c r="G917" s="38"/>
      <c r="H917" s="29"/>
    </row>
    <row r="918" spans="1:8" ht="15" customHeight="1" x14ac:dyDescent="0.25">
      <c r="C918" s="39"/>
      <c r="D918" s="67"/>
      <c r="H918" s="40"/>
    </row>
    <row r="919" spans="1:8" ht="50.45" hidden="1" customHeight="1" x14ac:dyDescent="0.25">
      <c r="A919" s="309"/>
      <c r="B919" s="301"/>
      <c r="C919" s="312"/>
      <c r="D919" s="312"/>
      <c r="E919" s="95"/>
      <c r="H919" s="202"/>
    </row>
    <row r="920" spans="1:8" ht="15" hidden="1" customHeight="1" x14ac:dyDescent="0.25">
      <c r="A920" s="310"/>
      <c r="B920" s="302"/>
      <c r="C920" s="313"/>
      <c r="D920" s="314"/>
      <c r="E920" s="90"/>
      <c r="G920" s="37"/>
      <c r="H920" s="29"/>
    </row>
    <row r="921" spans="1:8" ht="15" hidden="1" customHeight="1" x14ac:dyDescent="0.25">
      <c r="A921" s="310"/>
      <c r="B921" s="302"/>
      <c r="C921" s="119"/>
      <c r="D921" s="120"/>
      <c r="E921" s="196"/>
      <c r="G921" s="37"/>
      <c r="H921" s="29"/>
    </row>
    <row r="922" spans="1:8" ht="15" hidden="1" customHeight="1" x14ac:dyDescent="0.25">
      <c r="A922" s="311"/>
      <c r="B922" s="303"/>
      <c r="C922" s="315"/>
      <c r="D922" s="316"/>
      <c r="E922" s="92"/>
      <c r="G922" s="38"/>
      <c r="H922" s="29"/>
    </row>
    <row r="923" spans="1:8" ht="15" hidden="1" customHeight="1" x14ac:dyDescent="0.25">
      <c r="C923" s="39"/>
      <c r="D923" s="67"/>
      <c r="H923" s="40"/>
    </row>
    <row r="924" spans="1:8" ht="63.6" hidden="1" customHeight="1" x14ac:dyDescent="0.25">
      <c r="A924" s="309"/>
      <c r="B924" s="301"/>
      <c r="C924" s="304"/>
      <c r="D924" s="304"/>
      <c r="E924" s="186"/>
      <c r="H924" s="202"/>
    </row>
    <row r="925" spans="1:8" ht="34.35" hidden="1" customHeight="1" x14ac:dyDescent="0.25">
      <c r="A925" s="310"/>
      <c r="B925" s="302"/>
      <c r="C925" s="305"/>
      <c r="D925" s="306"/>
      <c r="E925" s="187"/>
      <c r="G925" s="37"/>
      <c r="H925" s="29"/>
    </row>
    <row r="926" spans="1:8" ht="14.45" hidden="1" customHeight="1" x14ac:dyDescent="0.25">
      <c r="A926" s="310"/>
      <c r="B926" s="302"/>
      <c r="C926" s="193"/>
      <c r="D926" s="194"/>
      <c r="E926" s="197"/>
      <c r="G926" s="37"/>
      <c r="H926" s="29"/>
    </row>
    <row r="927" spans="1:8" ht="15" hidden="1" customHeight="1" x14ac:dyDescent="0.25">
      <c r="A927" s="311"/>
      <c r="B927" s="303"/>
      <c r="C927" s="307"/>
      <c r="D927" s="308"/>
      <c r="E927" s="198"/>
      <c r="G927" s="38"/>
      <c r="H927" s="29"/>
    </row>
    <row r="928" spans="1:8" ht="15" hidden="1" customHeight="1" x14ac:dyDescent="0.25">
      <c r="C928" s="39"/>
      <c r="D928" s="67"/>
      <c r="H928" s="40"/>
    </row>
    <row r="929" spans="1:8" ht="48.75" customHeight="1" x14ac:dyDescent="0.25">
      <c r="A929" s="274">
        <v>65</v>
      </c>
      <c r="B929" s="322"/>
      <c r="C929" s="323" t="s">
        <v>599</v>
      </c>
      <c r="D929" s="323"/>
      <c r="E929" s="96"/>
      <c r="H929" s="265" t="s">
        <v>735</v>
      </c>
    </row>
    <row r="930" spans="1:8" ht="29.25" customHeight="1" x14ac:dyDescent="0.25">
      <c r="A930" s="275"/>
      <c r="B930" s="293"/>
      <c r="C930" s="299" t="s">
        <v>261</v>
      </c>
      <c r="D930" s="300"/>
      <c r="E930" s="260">
        <v>0</v>
      </c>
      <c r="F930" s="8" t="s">
        <v>96</v>
      </c>
      <c r="G930" s="37"/>
      <c r="H930" s="29"/>
    </row>
    <row r="931" spans="1:8" ht="44.25" customHeight="1" x14ac:dyDescent="0.25">
      <c r="A931" s="275"/>
      <c r="B931" s="293"/>
      <c r="C931" s="299" t="s">
        <v>262</v>
      </c>
      <c r="D931" s="300"/>
      <c r="E931" s="260">
        <v>0</v>
      </c>
      <c r="F931" s="8" t="s">
        <v>96</v>
      </c>
      <c r="G931" s="37"/>
      <c r="H931" s="29"/>
    </row>
    <row r="932" spans="1:8" ht="43.5" customHeight="1" x14ac:dyDescent="0.25">
      <c r="A932" s="275"/>
      <c r="B932" s="293"/>
      <c r="C932" s="299" t="s">
        <v>263</v>
      </c>
      <c r="D932" s="300"/>
      <c r="E932" s="260">
        <v>0</v>
      </c>
      <c r="F932" s="8" t="s">
        <v>96</v>
      </c>
      <c r="G932" s="37"/>
      <c r="H932" s="29"/>
    </row>
    <row r="933" spans="1:8" ht="29.25" customHeight="1" x14ac:dyDescent="0.25">
      <c r="A933" s="275"/>
      <c r="B933" s="293"/>
      <c r="C933" s="299" t="s">
        <v>264</v>
      </c>
      <c r="D933" s="300"/>
      <c r="E933" s="260">
        <v>0</v>
      </c>
      <c r="F933" s="8" t="s">
        <v>96</v>
      </c>
      <c r="G933" s="37"/>
      <c r="H933" s="29"/>
    </row>
    <row r="934" spans="1:8" ht="15" customHeight="1" x14ac:dyDescent="0.25">
      <c r="A934" s="275"/>
      <c r="B934" s="293"/>
      <c r="C934" s="299" t="s">
        <v>600</v>
      </c>
      <c r="D934" s="300"/>
      <c r="E934" s="94">
        <f>2*(E930+E931+E932)+E933</f>
        <v>0</v>
      </c>
      <c r="G934" s="37"/>
      <c r="H934" s="29"/>
    </row>
    <row r="935" spans="1:8" ht="14.45" hidden="1" customHeight="1" x14ac:dyDescent="0.25">
      <c r="A935" s="275"/>
      <c r="B935" s="293"/>
      <c r="C935" s="119" t="s">
        <v>154</v>
      </c>
      <c r="D935" s="120">
        <v>1</v>
      </c>
      <c r="E935" s="185"/>
      <c r="G935" s="37"/>
      <c r="H935" s="29"/>
    </row>
    <row r="936" spans="1:8" ht="15" customHeight="1" x14ac:dyDescent="0.25">
      <c r="A936" s="276"/>
      <c r="B936" s="294"/>
      <c r="C936" s="283" t="s">
        <v>36</v>
      </c>
      <c r="D936" s="324"/>
      <c r="E936" s="184">
        <f>IF(E934&gt;=D935,4,2+2/D935*E934)</f>
        <v>2</v>
      </c>
      <c r="G936" s="38"/>
      <c r="H936" s="29"/>
    </row>
    <row r="937" spans="1:8" ht="15" customHeight="1" x14ac:dyDescent="0.25">
      <c r="C937" s="39"/>
      <c r="D937" s="67"/>
      <c r="H937" s="40"/>
    </row>
    <row r="938" spans="1:8" ht="50.25" customHeight="1" x14ac:dyDescent="0.25">
      <c r="A938" s="274">
        <v>66</v>
      </c>
      <c r="B938" s="317" t="s">
        <v>601</v>
      </c>
      <c r="C938" s="320" t="s">
        <v>602</v>
      </c>
      <c r="D938" s="321"/>
      <c r="E938" s="21">
        <v>1</v>
      </c>
      <c r="F938" s="8" t="str">
        <f>IF(OR(ISBLANK(E938),E938&gt;4),"Salah isi","judge")</f>
        <v>judge</v>
      </c>
      <c r="H938" s="265" t="s">
        <v>736</v>
      </c>
    </row>
    <row r="939" spans="1:8" ht="145.69999999999999" customHeight="1" x14ac:dyDescent="0.25">
      <c r="A939" s="275"/>
      <c r="B939" s="318"/>
      <c r="C939" s="22">
        <v>4</v>
      </c>
      <c r="D939" s="60" t="s">
        <v>603</v>
      </c>
      <c r="E939" s="23"/>
      <c r="H939" s="29"/>
    </row>
    <row r="940" spans="1:8" ht="160.35" customHeight="1" x14ac:dyDescent="0.25">
      <c r="A940" s="275"/>
      <c r="B940" s="318"/>
      <c r="C940" s="22">
        <v>3</v>
      </c>
      <c r="D940" s="60" t="s">
        <v>604</v>
      </c>
      <c r="E940" s="23"/>
      <c r="H940" s="29"/>
    </row>
    <row r="941" spans="1:8" ht="145.69999999999999" customHeight="1" x14ac:dyDescent="0.25">
      <c r="A941" s="275"/>
      <c r="B941" s="318"/>
      <c r="C941" s="22">
        <v>2</v>
      </c>
      <c r="D941" s="60" t="s">
        <v>605</v>
      </c>
      <c r="E941" s="23"/>
      <c r="H941" s="29"/>
    </row>
    <row r="942" spans="1:8" ht="131.1" customHeight="1" x14ac:dyDescent="0.25">
      <c r="A942" s="275"/>
      <c r="B942" s="318"/>
      <c r="C942" s="22">
        <v>1</v>
      </c>
      <c r="D942" s="60" t="s">
        <v>606</v>
      </c>
      <c r="E942" s="23"/>
      <c r="H942" s="29"/>
    </row>
    <row r="943" spans="1:8" x14ac:dyDescent="0.25">
      <c r="A943" s="275"/>
      <c r="B943" s="318"/>
      <c r="C943" s="22">
        <v>0</v>
      </c>
      <c r="D943" s="60" t="s">
        <v>607</v>
      </c>
      <c r="E943" s="24"/>
      <c r="H943" s="29"/>
    </row>
    <row r="944" spans="1:8" ht="15" customHeight="1" x14ac:dyDescent="0.25">
      <c r="A944" s="276"/>
      <c r="B944" s="319"/>
      <c r="C944" s="289" t="s">
        <v>36</v>
      </c>
      <c r="D944" s="290"/>
      <c r="E944" s="25">
        <f>IF(F938="Salah isi",0,E938)</f>
        <v>1</v>
      </c>
      <c r="H944" s="29"/>
    </row>
    <row r="945" spans="1:8" ht="15" customHeight="1" x14ac:dyDescent="0.25">
      <c r="A945" s="26"/>
      <c r="B945" s="26"/>
      <c r="C945" s="27"/>
      <c r="D945" s="62"/>
      <c r="E945" s="28"/>
      <c r="H945" s="29"/>
    </row>
    <row r="946" spans="1:8" ht="50.25" customHeight="1" x14ac:dyDescent="0.25">
      <c r="A946" s="274">
        <v>67</v>
      </c>
      <c r="B946" s="317" t="s">
        <v>608</v>
      </c>
      <c r="C946" s="320" t="s">
        <v>609</v>
      </c>
      <c r="D946" s="321"/>
      <c r="E946" s="21">
        <v>2</v>
      </c>
      <c r="F946" s="8" t="str">
        <f>IF(OR(ISBLANK(E946),E946&gt;4),"Salah isi","judge")</f>
        <v>judge</v>
      </c>
      <c r="H946" s="265" t="s">
        <v>737</v>
      </c>
    </row>
    <row r="947" spans="1:8" ht="145.69999999999999" customHeight="1" x14ac:dyDescent="0.25">
      <c r="A947" s="275"/>
      <c r="B947" s="318"/>
      <c r="C947" s="22">
        <v>4</v>
      </c>
      <c r="D947" s="60" t="s">
        <v>610</v>
      </c>
      <c r="E947" s="23"/>
      <c r="H947" s="29"/>
    </row>
    <row r="948" spans="1:8" ht="102" customHeight="1" x14ac:dyDescent="0.25">
      <c r="A948" s="275"/>
      <c r="B948" s="318"/>
      <c r="C948" s="22">
        <v>3</v>
      </c>
      <c r="D948" s="60" t="s">
        <v>611</v>
      </c>
      <c r="E948" s="23"/>
      <c r="H948" s="29"/>
    </row>
    <row r="949" spans="1:8" ht="87.4" customHeight="1" x14ac:dyDescent="0.25">
      <c r="A949" s="275"/>
      <c r="B949" s="318"/>
      <c r="C949" s="22">
        <v>2</v>
      </c>
      <c r="D949" s="60" t="s">
        <v>612</v>
      </c>
      <c r="E949" s="23"/>
      <c r="H949" s="29"/>
    </row>
    <row r="950" spans="1:8" ht="102" customHeight="1" x14ac:dyDescent="0.25">
      <c r="A950" s="275"/>
      <c r="B950" s="318"/>
      <c r="C950" s="22">
        <v>1</v>
      </c>
      <c r="D950" s="60" t="s">
        <v>613</v>
      </c>
      <c r="E950" s="23"/>
      <c r="H950" s="29"/>
    </row>
    <row r="951" spans="1:8" x14ac:dyDescent="0.25">
      <c r="A951" s="275"/>
      <c r="B951" s="318"/>
      <c r="C951" s="22">
        <v>0</v>
      </c>
      <c r="D951" s="60" t="s">
        <v>614</v>
      </c>
      <c r="E951" s="24"/>
      <c r="H951" s="29"/>
    </row>
    <row r="952" spans="1:8" ht="15" customHeight="1" x14ac:dyDescent="0.25">
      <c r="A952" s="276"/>
      <c r="B952" s="319"/>
      <c r="C952" s="289" t="s">
        <v>36</v>
      </c>
      <c r="D952" s="290"/>
      <c r="E952" s="25">
        <f>IF(F946="Salah isi",0,E946)</f>
        <v>2</v>
      </c>
      <c r="H952" s="29"/>
    </row>
    <row r="953" spans="1:8" ht="15" customHeight="1" x14ac:dyDescent="0.25">
      <c r="H953" s="207"/>
    </row>
    <row r="954" spans="1:8" ht="50.25" customHeight="1" x14ac:dyDescent="0.25">
      <c r="A954" s="274">
        <v>68</v>
      </c>
      <c r="B954" s="317" t="s">
        <v>615</v>
      </c>
      <c r="C954" s="320" t="s">
        <v>616</v>
      </c>
      <c r="D954" s="321"/>
      <c r="E954" s="21">
        <v>2</v>
      </c>
      <c r="F954" s="8" t="str">
        <f>IF(OR(ISBLANK(E954),E954&gt;4),"Salah isi","judge")</f>
        <v>judge</v>
      </c>
      <c r="H954" s="202" t="s">
        <v>764</v>
      </c>
    </row>
    <row r="955" spans="1:8" ht="116.65" customHeight="1" x14ac:dyDescent="0.25">
      <c r="A955" s="275"/>
      <c r="B955" s="318"/>
      <c r="C955" s="22">
        <v>4</v>
      </c>
      <c r="D955" s="60" t="s">
        <v>617</v>
      </c>
      <c r="E955" s="23"/>
      <c r="H955" s="29"/>
    </row>
    <row r="956" spans="1:8" ht="102" customHeight="1" x14ac:dyDescent="0.25">
      <c r="A956" s="275"/>
      <c r="B956" s="318"/>
      <c r="C956" s="22">
        <v>3</v>
      </c>
      <c r="D956" s="60" t="s">
        <v>618</v>
      </c>
      <c r="E956" s="23"/>
      <c r="H956" s="29"/>
    </row>
    <row r="957" spans="1:8" ht="87.4" customHeight="1" x14ac:dyDescent="0.25">
      <c r="A957" s="275"/>
      <c r="B957" s="318"/>
      <c r="C957" s="22">
        <v>2</v>
      </c>
      <c r="D957" s="60" t="s">
        <v>619</v>
      </c>
      <c r="E957" s="23"/>
      <c r="H957" s="29"/>
    </row>
    <row r="958" spans="1:8" ht="72.95" customHeight="1" x14ac:dyDescent="0.25">
      <c r="A958" s="275"/>
      <c r="B958" s="318"/>
      <c r="C958" s="22">
        <v>1</v>
      </c>
      <c r="D958" s="60" t="s">
        <v>620</v>
      </c>
      <c r="E958" s="23"/>
      <c r="H958" s="29"/>
    </row>
    <row r="959" spans="1:8" x14ac:dyDescent="0.25">
      <c r="A959" s="275"/>
      <c r="B959" s="318"/>
      <c r="C959" s="22">
        <v>0</v>
      </c>
      <c r="D959" s="60" t="s">
        <v>621</v>
      </c>
      <c r="E959" s="24"/>
      <c r="H959" s="29"/>
    </row>
    <row r="960" spans="1:8" ht="15" customHeight="1" x14ac:dyDescent="0.25">
      <c r="A960" s="276"/>
      <c r="B960" s="319"/>
      <c r="C960" s="289" t="s">
        <v>36</v>
      </c>
      <c r="D960" s="290"/>
      <c r="E960" s="25">
        <f>IF(F954="Salah isi",0,E954)</f>
        <v>2</v>
      </c>
      <c r="H960" s="29"/>
    </row>
    <row r="961" spans="1:8" ht="15" customHeight="1" x14ac:dyDescent="0.25">
      <c r="H961" s="207"/>
    </row>
    <row r="962" spans="1:8" ht="50.25" customHeight="1" x14ac:dyDescent="0.25">
      <c r="A962" s="274">
        <v>69</v>
      </c>
      <c r="B962" s="317" t="s">
        <v>622</v>
      </c>
      <c r="C962" s="320" t="s">
        <v>623</v>
      </c>
      <c r="D962" s="321"/>
      <c r="E962" s="21">
        <v>0</v>
      </c>
      <c r="F962" s="8" t="str">
        <f>IF(OR(ISBLANK(E962),E962&gt;4),"Salah isi","judge")</f>
        <v>judge</v>
      </c>
      <c r="H962" s="202" t="s">
        <v>738</v>
      </c>
    </row>
    <row r="963" spans="1:8" ht="102" customHeight="1" x14ac:dyDescent="0.25">
      <c r="A963" s="275"/>
      <c r="B963" s="318"/>
      <c r="C963" s="22">
        <v>4</v>
      </c>
      <c r="D963" s="60" t="s">
        <v>624</v>
      </c>
      <c r="E963" s="23"/>
      <c r="H963" s="208"/>
    </row>
    <row r="964" spans="1:8" ht="87.4" customHeight="1" x14ac:dyDescent="0.25">
      <c r="A964" s="275"/>
      <c r="B964" s="318"/>
      <c r="C964" s="22">
        <v>3</v>
      </c>
      <c r="D964" s="60" t="s">
        <v>625</v>
      </c>
      <c r="E964" s="23"/>
      <c r="H964" s="208"/>
    </row>
    <row r="965" spans="1:8" ht="72.95" customHeight="1" x14ac:dyDescent="0.25">
      <c r="A965" s="275"/>
      <c r="B965" s="318"/>
      <c r="C965" s="22">
        <v>2</v>
      </c>
      <c r="D965" s="60" t="s">
        <v>626</v>
      </c>
      <c r="E965" s="23"/>
      <c r="H965" s="208"/>
    </row>
    <row r="966" spans="1:8" ht="29.1" customHeight="1" x14ac:dyDescent="0.25">
      <c r="A966" s="275"/>
      <c r="B966" s="318"/>
      <c r="C966" s="22">
        <v>1</v>
      </c>
      <c r="D966" s="60" t="s">
        <v>627</v>
      </c>
      <c r="E966" s="23"/>
      <c r="H966" s="208"/>
    </row>
    <row r="967" spans="1:8" ht="29.1" customHeight="1" x14ac:dyDescent="0.25">
      <c r="A967" s="275"/>
      <c r="B967" s="318"/>
      <c r="C967" s="22">
        <v>0</v>
      </c>
      <c r="D967" s="60" t="s">
        <v>628</v>
      </c>
      <c r="E967" s="24"/>
      <c r="H967" s="208"/>
    </row>
    <row r="968" spans="1:8" ht="15" customHeight="1" x14ac:dyDescent="0.25">
      <c r="A968" s="276"/>
      <c r="B968" s="319"/>
      <c r="C968" s="289" t="s">
        <v>36</v>
      </c>
      <c r="D968" s="290"/>
      <c r="E968" s="25">
        <f>IF(F962="Salah isi",0,E962)</f>
        <v>0</v>
      </c>
      <c r="H968" s="208"/>
    </row>
  </sheetData>
  <sheetProtection formatCells="0" formatColumns="0" formatRows="0" insertColumns="0" insertRows="0" insertHyperlinks="0" deleteColumns="0" deleteRows="0" sort="0" autoFilter="0" pivotTables="0"/>
  <mergeCells count="576">
    <mergeCell ref="C721:D721"/>
    <mergeCell ref="C725:D725"/>
    <mergeCell ref="C641:D641"/>
    <mergeCell ref="C642:D642"/>
    <mergeCell ref="C643:D643"/>
    <mergeCell ref="C644:D644"/>
    <mergeCell ref="C646:D646"/>
    <mergeCell ref="C674:D674"/>
    <mergeCell ref="C675:D675"/>
    <mergeCell ref="C684:D684"/>
    <mergeCell ref="C720:D720"/>
    <mergeCell ref="C708:D708"/>
    <mergeCell ref="C709:D709"/>
    <mergeCell ref="C711:D711"/>
    <mergeCell ref="C712:D712"/>
    <mergeCell ref="C713:D713"/>
    <mergeCell ref="C710:D710"/>
    <mergeCell ref="C702:D702"/>
    <mergeCell ref="C668:D668"/>
    <mergeCell ref="B845:B892"/>
    <mergeCell ref="C845:D845"/>
    <mergeCell ref="C846:D846"/>
    <mergeCell ref="C847:D847"/>
    <mergeCell ref="C848:D848"/>
    <mergeCell ref="C849:D849"/>
    <mergeCell ref="C850:D850"/>
    <mergeCell ref="C851:D851"/>
    <mergeCell ref="C853:D853"/>
    <mergeCell ref="C855:D855"/>
    <mergeCell ref="C856:C860"/>
    <mergeCell ref="C861:C865"/>
    <mergeCell ref="C866:C870"/>
    <mergeCell ref="C871:C875"/>
    <mergeCell ref="C876:C880"/>
    <mergeCell ref="C881:C885"/>
    <mergeCell ref="C886:C890"/>
    <mergeCell ref="C891:D891"/>
    <mergeCell ref="C892:D892"/>
    <mergeCell ref="C925:D925"/>
    <mergeCell ref="C927:D927"/>
    <mergeCell ref="A929:A936"/>
    <mergeCell ref="B929:B936"/>
    <mergeCell ref="C929:D929"/>
    <mergeCell ref="C930:D930"/>
    <mergeCell ref="C931:D931"/>
    <mergeCell ref="C932:D932"/>
    <mergeCell ref="C933:D933"/>
    <mergeCell ref="C934:D934"/>
    <mergeCell ref="C936:D936"/>
    <mergeCell ref="A745:A751"/>
    <mergeCell ref="B745:B751"/>
    <mergeCell ref="C809:D809"/>
    <mergeCell ref="B718:B731"/>
    <mergeCell ref="C718:D718"/>
    <mergeCell ref="C719:D719"/>
    <mergeCell ref="C745:D745"/>
    <mergeCell ref="C786:D786"/>
    <mergeCell ref="C787:D787"/>
    <mergeCell ref="C788:D788"/>
    <mergeCell ref="C789:D789"/>
    <mergeCell ref="C791:D791"/>
    <mergeCell ref="C793:D793"/>
    <mergeCell ref="C794:C796"/>
    <mergeCell ref="C797:C799"/>
    <mergeCell ref="A733:A743"/>
    <mergeCell ref="B733:B743"/>
    <mergeCell ref="C733:D733"/>
    <mergeCell ref="C734:D734"/>
    <mergeCell ref="C735:D735"/>
    <mergeCell ref="C736:D736"/>
    <mergeCell ref="C739:D739"/>
    <mergeCell ref="C743:D743"/>
    <mergeCell ref="A783:A809"/>
    <mergeCell ref="A427:A433"/>
    <mergeCell ref="B427:B433"/>
    <mergeCell ref="B783:B809"/>
    <mergeCell ref="C783:D783"/>
    <mergeCell ref="C784:D784"/>
    <mergeCell ref="C785:D785"/>
    <mergeCell ref="E493:E494"/>
    <mergeCell ref="A704:A716"/>
    <mergeCell ref="B704:B716"/>
    <mergeCell ref="C704:D704"/>
    <mergeCell ref="C705:D705"/>
    <mergeCell ref="C706:D706"/>
    <mergeCell ref="C707:D707"/>
    <mergeCell ref="A686:A702"/>
    <mergeCell ref="B686:B702"/>
    <mergeCell ref="C686:D686"/>
    <mergeCell ref="C687:D687"/>
    <mergeCell ref="C688:D688"/>
    <mergeCell ref="A619:A624"/>
    <mergeCell ref="B619:B624"/>
    <mergeCell ref="C619:D619"/>
    <mergeCell ref="A611:A617"/>
    <mergeCell ref="A718:A731"/>
    <mergeCell ref="C510:D510"/>
    <mergeCell ref="A435:A453"/>
    <mergeCell ref="B435:B453"/>
    <mergeCell ref="C435:D435"/>
    <mergeCell ref="C441:D441"/>
    <mergeCell ref="C447:D447"/>
    <mergeCell ref="C453:D453"/>
    <mergeCell ref="A455:A461"/>
    <mergeCell ref="B455:B461"/>
    <mergeCell ref="C455:D455"/>
    <mergeCell ref="C461:D461"/>
    <mergeCell ref="A656:A666"/>
    <mergeCell ref="B656:B666"/>
    <mergeCell ref="C656:D656"/>
    <mergeCell ref="C657:D657"/>
    <mergeCell ref="C658:D658"/>
    <mergeCell ref="B611:B617"/>
    <mergeCell ref="C611:D611"/>
    <mergeCell ref="C617:D617"/>
    <mergeCell ref="C620:D620"/>
    <mergeCell ref="C621:D621"/>
    <mergeCell ref="A626:A631"/>
    <mergeCell ref="A641:A646"/>
    <mergeCell ref="B641:B646"/>
    <mergeCell ref="A633:A639"/>
    <mergeCell ref="B633:B639"/>
    <mergeCell ref="C633:D633"/>
    <mergeCell ref="C639:D639"/>
    <mergeCell ref="A648:A654"/>
    <mergeCell ref="B648:B654"/>
    <mergeCell ref="C648:D648"/>
    <mergeCell ref="C654:D654"/>
    <mergeCell ref="C624:D624"/>
    <mergeCell ref="C659:D659"/>
    <mergeCell ref="C660:D660"/>
    <mergeCell ref="A524:A554"/>
    <mergeCell ref="B524:B554"/>
    <mergeCell ref="C524:D524"/>
    <mergeCell ref="C530:D530"/>
    <mergeCell ref="C536:D536"/>
    <mergeCell ref="C542:D542"/>
    <mergeCell ref="C548:D548"/>
    <mergeCell ref="C578:C582"/>
    <mergeCell ref="C583:C587"/>
    <mergeCell ref="C554:D554"/>
    <mergeCell ref="C556:D556"/>
    <mergeCell ref="C557:D557"/>
    <mergeCell ref="C562:D562"/>
    <mergeCell ref="C564:D564"/>
    <mergeCell ref="C570:D570"/>
    <mergeCell ref="C572:D572"/>
    <mergeCell ref="C573:C577"/>
    <mergeCell ref="A299:A315"/>
    <mergeCell ref="B299:B315"/>
    <mergeCell ref="C299:D299"/>
    <mergeCell ref="A516:A522"/>
    <mergeCell ref="B516:B522"/>
    <mergeCell ref="C516:D516"/>
    <mergeCell ref="C522:D522"/>
    <mergeCell ref="A463:A475"/>
    <mergeCell ref="B463:B475"/>
    <mergeCell ref="C463:D463"/>
    <mergeCell ref="C469:D469"/>
    <mergeCell ref="C475:D475"/>
    <mergeCell ref="C514:D514"/>
    <mergeCell ref="D493:D494"/>
    <mergeCell ref="C340:D340"/>
    <mergeCell ref="C300:D300"/>
    <mergeCell ref="C301:D301"/>
    <mergeCell ref="C302:D302"/>
    <mergeCell ref="C303:D303"/>
    <mergeCell ref="C304:D304"/>
    <mergeCell ref="C305:D305"/>
    <mergeCell ref="C306:D306"/>
    <mergeCell ref="C315:D315"/>
    <mergeCell ref="C390:D390"/>
    <mergeCell ref="A811:A843"/>
    <mergeCell ref="B811:B843"/>
    <mergeCell ref="C811:D811"/>
    <mergeCell ref="C812:D812"/>
    <mergeCell ref="C813:D813"/>
    <mergeCell ref="C814:D814"/>
    <mergeCell ref="C815:D815"/>
    <mergeCell ref="C825:C827"/>
    <mergeCell ref="C828:C830"/>
    <mergeCell ref="C831:D831"/>
    <mergeCell ref="C843:D843"/>
    <mergeCell ref="C842:D842"/>
    <mergeCell ref="C832:D832"/>
    <mergeCell ref="C833:D833"/>
    <mergeCell ref="C817:D817"/>
    <mergeCell ref="C819:D819"/>
    <mergeCell ref="C821:D821"/>
    <mergeCell ref="C822:C824"/>
    <mergeCell ref="A668:A684"/>
    <mergeCell ref="B668:B684"/>
    <mergeCell ref="C807:D807"/>
    <mergeCell ref="C808:D808"/>
    <mergeCell ref="E499:E500"/>
    <mergeCell ref="A509:A514"/>
    <mergeCell ref="B509:B514"/>
    <mergeCell ref="C509:D509"/>
    <mergeCell ref="C816:D816"/>
    <mergeCell ref="A556:A562"/>
    <mergeCell ref="B556:B562"/>
    <mergeCell ref="A564:A570"/>
    <mergeCell ref="B564:B570"/>
    <mergeCell ref="C669:D669"/>
    <mergeCell ref="C670:D670"/>
    <mergeCell ref="C671:D671"/>
    <mergeCell ref="C672:D672"/>
    <mergeCell ref="C673:D673"/>
    <mergeCell ref="A572:A609"/>
    <mergeCell ref="B572:B609"/>
    <mergeCell ref="A477:A507"/>
    <mergeCell ref="B477:B507"/>
    <mergeCell ref="C495:D495"/>
    <mergeCell ref="D499:D500"/>
    <mergeCell ref="C588:C592"/>
    <mergeCell ref="C593:C597"/>
    <mergeCell ref="C598:D598"/>
    <mergeCell ref="C601:D601"/>
    <mergeCell ref="C602:D602"/>
    <mergeCell ref="C608:D608"/>
    <mergeCell ref="C609:D609"/>
    <mergeCell ref="C716:D716"/>
    <mergeCell ref="C691:D691"/>
    <mergeCell ref="C692:D692"/>
    <mergeCell ref="C693:D693"/>
    <mergeCell ref="C661:D661"/>
    <mergeCell ref="C662:D662"/>
    <mergeCell ref="C666:D666"/>
    <mergeCell ref="C622:D622"/>
    <mergeCell ref="C629:D629"/>
    <mergeCell ref="A317:A340"/>
    <mergeCell ref="B317:B340"/>
    <mergeCell ref="C317:D317"/>
    <mergeCell ref="C318:D318"/>
    <mergeCell ref="C319:D319"/>
    <mergeCell ref="C320:D320"/>
    <mergeCell ref="C321:D321"/>
    <mergeCell ref="C322:D322"/>
    <mergeCell ref="C323:D323"/>
    <mergeCell ref="C324:D324"/>
    <mergeCell ref="C325:D325"/>
    <mergeCell ref="C326:D326"/>
    <mergeCell ref="C327:D327"/>
    <mergeCell ref="C328:D328"/>
    <mergeCell ref="C329:D329"/>
    <mergeCell ref="C330:D330"/>
    <mergeCell ref="C331:D331"/>
    <mergeCell ref="A356:A364"/>
    <mergeCell ref="A349:A354"/>
    <mergeCell ref="B349:B354"/>
    <mergeCell ref="C349:D349"/>
    <mergeCell ref="C350:D350"/>
    <mergeCell ref="C351:D351"/>
    <mergeCell ref="C352:D352"/>
    <mergeCell ref="C354:D354"/>
    <mergeCell ref="B356:B364"/>
    <mergeCell ref="C356:D356"/>
    <mergeCell ref="C357:D357"/>
    <mergeCell ref="C358:D358"/>
    <mergeCell ref="C359:D359"/>
    <mergeCell ref="C360:D360"/>
    <mergeCell ref="C361:D361"/>
    <mergeCell ref="C362:D362"/>
    <mergeCell ref="C364:D364"/>
    <mergeCell ref="A410:A417"/>
    <mergeCell ref="B410:B417"/>
    <mergeCell ref="C410:D410"/>
    <mergeCell ref="C411:D411"/>
    <mergeCell ref="C417:D417"/>
    <mergeCell ref="A366:A373"/>
    <mergeCell ref="B366:B373"/>
    <mergeCell ref="C366:D366"/>
    <mergeCell ref="C367:D367"/>
    <mergeCell ref="C373:D373"/>
    <mergeCell ref="C391:D391"/>
    <mergeCell ref="C392:D392"/>
    <mergeCell ref="C394:D394"/>
    <mergeCell ref="A403:A408"/>
    <mergeCell ref="B403:B408"/>
    <mergeCell ref="C403:D403"/>
    <mergeCell ref="C404:D404"/>
    <mergeCell ref="C405:D405"/>
    <mergeCell ref="C406:D406"/>
    <mergeCell ref="C408:D408"/>
    <mergeCell ref="A396:A401"/>
    <mergeCell ref="B396:B401"/>
    <mergeCell ref="C396:D396"/>
    <mergeCell ref="C397:D397"/>
    <mergeCell ref="A1:F1"/>
    <mergeCell ref="A2:F2"/>
    <mergeCell ref="C6:D6"/>
    <mergeCell ref="A7:A13"/>
    <mergeCell ref="B7:B13"/>
    <mergeCell ref="C7:D7"/>
    <mergeCell ref="C13:D13"/>
    <mergeCell ref="A83:A108"/>
    <mergeCell ref="C126:D126"/>
    <mergeCell ref="E65:E66"/>
    <mergeCell ref="C67:D67"/>
    <mergeCell ref="C73:D73"/>
    <mergeCell ref="A15:A21"/>
    <mergeCell ref="B15:B21"/>
    <mergeCell ref="C15:D15"/>
    <mergeCell ref="C21:D21"/>
    <mergeCell ref="A23:A29"/>
    <mergeCell ref="B23:B29"/>
    <mergeCell ref="C23:D23"/>
    <mergeCell ref="C29:D29"/>
    <mergeCell ref="A31:A37"/>
    <mergeCell ref="B31:B37"/>
    <mergeCell ref="C31:D31"/>
    <mergeCell ref="C37:D37"/>
    <mergeCell ref="C151:D151"/>
    <mergeCell ref="C153:D153"/>
    <mergeCell ref="C45:D45"/>
    <mergeCell ref="A47:A59"/>
    <mergeCell ref="B47:B59"/>
    <mergeCell ref="C47:D47"/>
    <mergeCell ref="C53:D53"/>
    <mergeCell ref="C59:D59"/>
    <mergeCell ref="A110:A116"/>
    <mergeCell ref="B110:B116"/>
    <mergeCell ref="C110:D110"/>
    <mergeCell ref="D114:D115"/>
    <mergeCell ref="C116:D116"/>
    <mergeCell ref="C97:D97"/>
    <mergeCell ref="C107:D107"/>
    <mergeCell ref="C108:D108"/>
    <mergeCell ref="C106:D106"/>
    <mergeCell ref="A39:A45"/>
    <mergeCell ref="B39:B45"/>
    <mergeCell ref="C39:D39"/>
    <mergeCell ref="A61:A73"/>
    <mergeCell ref="B61:B73"/>
    <mergeCell ref="C61:D61"/>
    <mergeCell ref="D65:D66"/>
    <mergeCell ref="C148:D148"/>
    <mergeCell ref="C149:D149"/>
    <mergeCell ref="C150:D150"/>
    <mergeCell ref="C132:D132"/>
    <mergeCell ref="A134:A140"/>
    <mergeCell ref="B134:B140"/>
    <mergeCell ref="C134:D134"/>
    <mergeCell ref="A126:A132"/>
    <mergeCell ref="B126:B132"/>
    <mergeCell ref="C175:D175"/>
    <mergeCell ref="C124:D124"/>
    <mergeCell ref="C140:D140"/>
    <mergeCell ref="A75:A81"/>
    <mergeCell ref="B75:B81"/>
    <mergeCell ref="C75:D75"/>
    <mergeCell ref="C81:D81"/>
    <mergeCell ref="B83:B108"/>
    <mergeCell ref="C83:D83"/>
    <mergeCell ref="C84:D84"/>
    <mergeCell ref="C85:D85"/>
    <mergeCell ref="C86:D86"/>
    <mergeCell ref="C87:D87"/>
    <mergeCell ref="C88:D88"/>
    <mergeCell ref="C93:D93"/>
    <mergeCell ref="C94:D94"/>
    <mergeCell ref="C95:D95"/>
    <mergeCell ref="C96:D96"/>
    <mergeCell ref="A118:A124"/>
    <mergeCell ref="B118:B124"/>
    <mergeCell ref="C118:D118"/>
    <mergeCell ref="A142:A160"/>
    <mergeCell ref="B142:B160"/>
    <mergeCell ref="C142:D142"/>
    <mergeCell ref="B191:B195"/>
    <mergeCell ref="C191:D191"/>
    <mergeCell ref="C192:D192"/>
    <mergeCell ref="C195:D195"/>
    <mergeCell ref="A177:A189"/>
    <mergeCell ref="B177:B189"/>
    <mergeCell ref="C177:D177"/>
    <mergeCell ref="C183:D183"/>
    <mergeCell ref="C189:D189"/>
    <mergeCell ref="A211:A218"/>
    <mergeCell ref="B211:B218"/>
    <mergeCell ref="C211:D211"/>
    <mergeCell ref="C212:D212"/>
    <mergeCell ref="C213:D213"/>
    <mergeCell ref="C214:D214"/>
    <mergeCell ref="C215:D215"/>
    <mergeCell ref="C216:D216"/>
    <mergeCell ref="C218:D218"/>
    <mergeCell ref="A204:A209"/>
    <mergeCell ref="B204:B209"/>
    <mergeCell ref="C204:D204"/>
    <mergeCell ref="C205:D205"/>
    <mergeCell ref="C206:D206"/>
    <mergeCell ref="C207:D207"/>
    <mergeCell ref="C209:D209"/>
    <mergeCell ref="A162:A175"/>
    <mergeCell ref="B162:B175"/>
    <mergeCell ref="C162:D162"/>
    <mergeCell ref="C168:D168"/>
    <mergeCell ref="C169:D169"/>
    <mergeCell ref="C170:D170"/>
    <mergeCell ref="C171:D171"/>
    <mergeCell ref="C172:D172"/>
    <mergeCell ref="C174:D174"/>
    <mergeCell ref="A197:A202"/>
    <mergeCell ref="B197:B202"/>
    <mergeCell ref="C197:D197"/>
    <mergeCell ref="C198:D198"/>
    <mergeCell ref="C199:D199"/>
    <mergeCell ref="C200:D200"/>
    <mergeCell ref="C202:D202"/>
    <mergeCell ref="A191:A195"/>
    <mergeCell ref="A220:A239"/>
    <mergeCell ref="B220:B239"/>
    <mergeCell ref="C220:D220"/>
    <mergeCell ref="C226:D226"/>
    <mergeCell ref="C227:D227"/>
    <mergeCell ref="C228:D228"/>
    <mergeCell ref="C229:D229"/>
    <mergeCell ref="C233:D233"/>
    <mergeCell ref="C239:D239"/>
    <mergeCell ref="A241:A247"/>
    <mergeCell ref="B241:B247"/>
    <mergeCell ref="C241:D241"/>
    <mergeCell ref="C242:D242"/>
    <mergeCell ref="C243:D243"/>
    <mergeCell ref="C244:D244"/>
    <mergeCell ref="C247:D247"/>
    <mergeCell ref="A249:A257"/>
    <mergeCell ref="B249:B257"/>
    <mergeCell ref="C249:D249"/>
    <mergeCell ref="C250:D250"/>
    <mergeCell ref="C251:D251"/>
    <mergeCell ref="C252:D252"/>
    <mergeCell ref="C257:D257"/>
    <mergeCell ref="A274:A279"/>
    <mergeCell ref="B274:B279"/>
    <mergeCell ref="C274:D274"/>
    <mergeCell ref="C275:D275"/>
    <mergeCell ref="C276:D276"/>
    <mergeCell ref="C277:D277"/>
    <mergeCell ref="C279:D279"/>
    <mergeCell ref="A281:A297"/>
    <mergeCell ref="C270:D270"/>
    <mergeCell ref="C272:D272"/>
    <mergeCell ref="B281:B297"/>
    <mergeCell ref="C281:D281"/>
    <mergeCell ref="C282:D282"/>
    <mergeCell ref="C283:D283"/>
    <mergeCell ref="C284:D284"/>
    <mergeCell ref="C285:D285"/>
    <mergeCell ref="A259:A265"/>
    <mergeCell ref="B259:B265"/>
    <mergeCell ref="C259:D259"/>
    <mergeCell ref="C260:D260"/>
    <mergeCell ref="C261:D261"/>
    <mergeCell ref="C262:D262"/>
    <mergeCell ref="C265:D265"/>
    <mergeCell ref="A267:A272"/>
    <mergeCell ref="B267:B272"/>
    <mergeCell ref="C267:D267"/>
    <mergeCell ref="C268:D268"/>
    <mergeCell ref="C269:D269"/>
    <mergeCell ref="C399:D399"/>
    <mergeCell ref="C401:D401"/>
    <mergeCell ref="C286:D286"/>
    <mergeCell ref="C287:D287"/>
    <mergeCell ref="C288:D288"/>
    <mergeCell ref="C297:D297"/>
    <mergeCell ref="C763:D763"/>
    <mergeCell ref="C764:C766"/>
    <mergeCell ref="C767:C769"/>
    <mergeCell ref="C726:D726"/>
    <mergeCell ref="C727:D727"/>
    <mergeCell ref="C731:D731"/>
    <mergeCell ref="C689:D689"/>
    <mergeCell ref="C690:D690"/>
    <mergeCell ref="C761:D761"/>
    <mergeCell ref="C477:D477"/>
    <mergeCell ref="C483:D483"/>
    <mergeCell ref="C489:D489"/>
    <mergeCell ref="C389:D389"/>
    <mergeCell ref="C398:D398"/>
    <mergeCell ref="C427:D427"/>
    <mergeCell ref="C433:D433"/>
    <mergeCell ref="C511:D511"/>
    <mergeCell ref="C512:D512"/>
    <mergeCell ref="C770:C772"/>
    <mergeCell ref="C501:D501"/>
    <mergeCell ref="C507:D507"/>
    <mergeCell ref="A342:A347"/>
    <mergeCell ref="B342:B347"/>
    <mergeCell ref="C342:D342"/>
    <mergeCell ref="C343:D343"/>
    <mergeCell ref="C344:D344"/>
    <mergeCell ref="C345:D345"/>
    <mergeCell ref="C347:D347"/>
    <mergeCell ref="A419:A425"/>
    <mergeCell ref="B419:B425"/>
    <mergeCell ref="C419:D419"/>
    <mergeCell ref="C425:D425"/>
    <mergeCell ref="A375:A387"/>
    <mergeCell ref="B375:B387"/>
    <mergeCell ref="C375:D375"/>
    <mergeCell ref="C381:D381"/>
    <mergeCell ref="C387:D387"/>
    <mergeCell ref="A389:A394"/>
    <mergeCell ref="B389:B394"/>
    <mergeCell ref="C722:D722"/>
    <mergeCell ref="C723:D723"/>
    <mergeCell ref="C724:D724"/>
    <mergeCell ref="C901:D901"/>
    <mergeCell ref="A894:A917"/>
    <mergeCell ref="B894:B917"/>
    <mergeCell ref="C894:D894"/>
    <mergeCell ref="C895:D895"/>
    <mergeCell ref="C902:D902"/>
    <mergeCell ref="C903:D903"/>
    <mergeCell ref="C904:D904"/>
    <mergeCell ref="C908:D908"/>
    <mergeCell ref="C896:D896"/>
    <mergeCell ref="C897:D897"/>
    <mergeCell ref="C898:D898"/>
    <mergeCell ref="C899:D899"/>
    <mergeCell ref="C900:D900"/>
    <mergeCell ref="C905:D905"/>
    <mergeCell ref="C906:D906"/>
    <mergeCell ref="C907:D907"/>
    <mergeCell ref="C917:D917"/>
    <mergeCell ref="A919:A922"/>
    <mergeCell ref="B919:B922"/>
    <mergeCell ref="C919:D919"/>
    <mergeCell ref="C920:D920"/>
    <mergeCell ref="C922:D922"/>
    <mergeCell ref="A962:A968"/>
    <mergeCell ref="B962:B968"/>
    <mergeCell ref="C962:D962"/>
    <mergeCell ref="C968:D968"/>
    <mergeCell ref="A938:A944"/>
    <mergeCell ref="B938:B944"/>
    <mergeCell ref="C938:D938"/>
    <mergeCell ref="C944:D944"/>
    <mergeCell ref="A946:A952"/>
    <mergeCell ref="B946:B952"/>
    <mergeCell ref="C946:D946"/>
    <mergeCell ref="C952:D952"/>
    <mergeCell ref="A954:A960"/>
    <mergeCell ref="B954:B960"/>
    <mergeCell ref="C954:D954"/>
    <mergeCell ref="C960:D960"/>
    <mergeCell ref="A924:A927"/>
    <mergeCell ref="B924:B927"/>
    <mergeCell ref="C924:D924"/>
    <mergeCell ref="A845:A892"/>
    <mergeCell ref="C154:D154"/>
    <mergeCell ref="C160:D160"/>
    <mergeCell ref="C237:D237"/>
    <mergeCell ref="C238:E238"/>
    <mergeCell ref="C800:C802"/>
    <mergeCell ref="C751:D751"/>
    <mergeCell ref="A753:A781"/>
    <mergeCell ref="B753:B781"/>
    <mergeCell ref="C753:D753"/>
    <mergeCell ref="C754:D754"/>
    <mergeCell ref="C755:D755"/>
    <mergeCell ref="C756:D756"/>
    <mergeCell ref="C757:D757"/>
    <mergeCell ref="C758:D758"/>
    <mergeCell ref="C759:D759"/>
    <mergeCell ref="C779:D779"/>
    <mergeCell ref="C780:D780"/>
    <mergeCell ref="C781:D781"/>
    <mergeCell ref="B626:B631"/>
    <mergeCell ref="C626:D626"/>
    <mergeCell ref="C627:D627"/>
    <mergeCell ref="C628:D628"/>
    <mergeCell ref="C631:D631"/>
  </mergeCells>
  <conditionalFormatting sqref="F126">
    <cfRule type="containsText" dxfId="91" priority="1" operator="containsText" text="Salah isi">
      <formula>NOT(ISERROR(SEARCH("Salah isi",F126)))</formula>
    </cfRule>
  </conditionalFormatting>
  <conditionalFormatting sqref="F572">
    <cfRule type="containsText" dxfId="90" priority="2" operator="containsText" text="Salah isi">
      <formula>NOT(ISERROR(SEARCH("Salah isi",F572)))</formula>
    </cfRule>
  </conditionalFormatting>
  <conditionalFormatting sqref="G101">
    <cfRule type="cellIs" dxfId="89" priority="3" operator="equal">
      <formula>"Tidak dinilai"</formula>
    </cfRule>
  </conditionalFormatting>
  <conditionalFormatting sqref="F134">
    <cfRule type="containsText" dxfId="88" priority="4" operator="containsText" text="Salah isi">
      <formula>NOT(ISERROR(SEARCH("Salah isi",F134)))</formula>
    </cfRule>
  </conditionalFormatting>
  <conditionalFormatting sqref="F118">
    <cfRule type="containsText" dxfId="87" priority="5" operator="containsText" text="Salah isi">
      <formula>NOT(ISERROR(SEARCH("Salah isi",F118)))</formula>
    </cfRule>
  </conditionalFormatting>
  <conditionalFormatting sqref="F47">
    <cfRule type="containsText" dxfId="86" priority="6" operator="containsText" text="Salah isi">
      <formula>NOT(ISERROR(SEARCH("Salah isi",F47)))</formula>
    </cfRule>
  </conditionalFormatting>
  <conditionalFormatting sqref="F39">
    <cfRule type="containsText" dxfId="85" priority="7" operator="containsText" text="Salah isi">
      <formula>NOT(ISERROR(SEARCH("Salah isi",F39)))</formula>
    </cfRule>
  </conditionalFormatting>
  <conditionalFormatting sqref="F31">
    <cfRule type="containsText" dxfId="84" priority="8" operator="containsText" text="Salah isi">
      <formula>NOT(ISERROR(SEARCH("Salah isi",F31)))</formula>
    </cfRule>
  </conditionalFormatting>
  <conditionalFormatting sqref="F23">
    <cfRule type="containsText" dxfId="83" priority="9" operator="containsText" text="Salah isi">
      <formula>NOT(ISERROR(SEARCH("Salah isi",F23)))</formula>
    </cfRule>
  </conditionalFormatting>
  <conditionalFormatting sqref="F7">
    <cfRule type="containsText" dxfId="82" priority="10" operator="containsText" text="Salah isi">
      <formula>NOT(ISERROR(SEARCH("Salah isi",F7)))</formula>
    </cfRule>
  </conditionalFormatting>
  <conditionalFormatting sqref="F15">
    <cfRule type="containsText" dxfId="81" priority="11" operator="containsText" text="Salah isi">
      <formula>NOT(ISERROR(SEARCH("Salah isi",F15)))</formula>
    </cfRule>
  </conditionalFormatting>
  <conditionalFormatting sqref="F53">
    <cfRule type="containsText" dxfId="80" priority="12" operator="containsText" text="Salah isi">
      <formula>NOT(ISERROR(SEARCH("Salah isi",F53)))</formula>
    </cfRule>
  </conditionalFormatting>
  <conditionalFormatting sqref="F61">
    <cfRule type="containsText" dxfId="79" priority="13" operator="containsText" text="Salah isi">
      <formula>NOT(ISERROR(SEARCH("Salah isi",F61)))</formula>
    </cfRule>
  </conditionalFormatting>
  <conditionalFormatting sqref="F67">
    <cfRule type="containsText" dxfId="78" priority="14" operator="containsText" text="Salah isi">
      <formula>NOT(ISERROR(SEARCH("Salah isi",F67)))</formula>
    </cfRule>
  </conditionalFormatting>
  <conditionalFormatting sqref="F75">
    <cfRule type="containsText" dxfId="77" priority="15" operator="containsText" text="Salah isi">
      <formula>NOT(ISERROR(SEARCH("Salah isi",F75)))</formula>
    </cfRule>
  </conditionalFormatting>
  <conditionalFormatting sqref="F110">
    <cfRule type="containsText" dxfId="76" priority="16" operator="containsText" text="Salah isi">
      <formula>NOT(ISERROR(SEARCH("Salah isi",F110)))</formula>
    </cfRule>
  </conditionalFormatting>
  <conditionalFormatting sqref="F463">
    <cfRule type="containsText" dxfId="75" priority="17" operator="containsText" text="Salah isi">
      <formula>NOT(ISERROR(SEARCH("Salah isi",F463)))</formula>
    </cfRule>
  </conditionalFormatting>
  <conditionalFormatting sqref="F611">
    <cfRule type="containsText" dxfId="74" priority="18" operator="containsText" text="Salah isi">
      <formula>NOT(ISERROR(SEARCH("Salah isi",F611)))</formula>
    </cfRule>
  </conditionalFormatting>
  <conditionalFormatting sqref="F183">
    <cfRule type="containsText" dxfId="73" priority="19" operator="containsText" text="Salah isi">
      <formula>NOT(ISERROR(SEARCH("Salah isi",F183)))</formula>
    </cfRule>
  </conditionalFormatting>
  <conditionalFormatting sqref="F177">
    <cfRule type="containsText" dxfId="72" priority="20" operator="containsText" text="Salah isi">
      <formula>NOT(ISERROR(SEARCH("Salah isi",F177)))</formula>
    </cfRule>
  </conditionalFormatting>
  <conditionalFormatting sqref="F366:F367">
    <cfRule type="containsText" dxfId="71" priority="21" operator="containsText" text="Salah isi">
      <formula>NOT(ISERROR(SEARCH("Salah isi",F366:F367)))</formula>
    </cfRule>
  </conditionalFormatting>
  <conditionalFormatting sqref="F381">
    <cfRule type="containsText" dxfId="70" priority="22" operator="containsText" text="Salah isi">
      <formula>NOT(ISERROR(SEARCH("Salah isi",F381)))</formula>
    </cfRule>
  </conditionalFormatting>
  <conditionalFormatting sqref="F375">
    <cfRule type="containsText" dxfId="69" priority="23" operator="containsText" text="Salah isi">
      <formula>NOT(ISERROR(SEARCH("Salah isi",F375)))</formula>
    </cfRule>
  </conditionalFormatting>
  <conditionalFormatting sqref="F410:F411">
    <cfRule type="containsText" dxfId="68" priority="24" operator="containsText" text="Salah isi">
      <formula>NOT(ISERROR(SEARCH("Salah isi",F410:F411)))</formula>
    </cfRule>
  </conditionalFormatting>
  <conditionalFormatting sqref="F419">
    <cfRule type="containsText" dxfId="67" priority="25" operator="containsText" text="Salah isi">
      <formula>NOT(ISERROR(SEARCH("Salah isi",F419)))</formula>
    </cfRule>
  </conditionalFormatting>
  <conditionalFormatting sqref="F427">
    <cfRule type="containsText" dxfId="66" priority="26" operator="containsText" text="Salah isi">
      <formula>NOT(ISERROR(SEARCH("Salah isi",F427)))</formula>
    </cfRule>
  </conditionalFormatting>
  <conditionalFormatting sqref="F435">
    <cfRule type="containsText" dxfId="65" priority="27" operator="containsText" text="Salah isi">
      <formula>NOT(ISERROR(SEARCH("Salah isi",F435)))</formula>
    </cfRule>
  </conditionalFormatting>
  <conditionalFormatting sqref="F441">
    <cfRule type="containsText" dxfId="64" priority="28" operator="containsText" text="Salah isi">
      <formula>NOT(ISERROR(SEARCH("Salah isi",F441)))</formula>
    </cfRule>
  </conditionalFormatting>
  <conditionalFormatting sqref="F447">
    <cfRule type="containsText" dxfId="63" priority="29" operator="containsText" text="Salah isi">
      <formula>NOT(ISERROR(SEARCH("Salah isi",F447)))</formula>
    </cfRule>
  </conditionalFormatting>
  <conditionalFormatting sqref="F455">
    <cfRule type="containsText" dxfId="62" priority="30" operator="containsText" text="Salah isi">
      <formula>NOT(ISERROR(SEARCH("Salah isi",F455)))</formula>
    </cfRule>
  </conditionalFormatting>
  <conditionalFormatting sqref="F495">
    <cfRule type="containsText" dxfId="61" priority="31" operator="containsText" text="Salah isi">
      <formula>NOT(ISERROR(SEARCH("Salah isi",F495)))</formula>
    </cfRule>
  </conditionalFormatting>
  <conditionalFormatting sqref="F477">
    <cfRule type="containsText" dxfId="60" priority="32" operator="containsText" text="Salah isi">
      <formula>NOT(ISERROR(SEARCH("Salah isi",F477)))</formula>
    </cfRule>
  </conditionalFormatting>
  <conditionalFormatting sqref="F469">
    <cfRule type="containsText" dxfId="59" priority="33" operator="containsText" text="Salah isi">
      <formula>NOT(ISERROR(SEARCH("Salah isi",F469)))</formula>
    </cfRule>
  </conditionalFormatting>
  <conditionalFormatting sqref="F501">
    <cfRule type="containsText" dxfId="58" priority="34" operator="containsText" text="Salah isi">
      <formula>NOT(ISERROR(SEARCH("Salah isi",F501)))</formula>
    </cfRule>
  </conditionalFormatting>
  <conditionalFormatting sqref="F483">
    <cfRule type="containsText" dxfId="57" priority="35" operator="containsText" text="Salah isi">
      <formula>NOT(ISERROR(SEARCH("Salah isi",F483)))</formula>
    </cfRule>
  </conditionalFormatting>
  <conditionalFormatting sqref="F516">
    <cfRule type="containsText" dxfId="56" priority="36" operator="containsText" text="Salah isi">
      <formula>NOT(ISERROR(SEARCH("Salah isi",F516)))</formula>
    </cfRule>
  </conditionalFormatting>
  <conditionalFormatting sqref="F524">
    <cfRule type="containsText" dxfId="55" priority="37" operator="containsText" text="Salah isi">
      <formula>NOT(ISERROR(SEARCH("Salah isi",F524)))</formula>
    </cfRule>
  </conditionalFormatting>
  <conditionalFormatting sqref="F530">
    <cfRule type="containsText" dxfId="54" priority="38" operator="containsText" text="Salah isi">
      <formula>NOT(ISERROR(SEARCH("Salah isi",F530)))</formula>
    </cfRule>
  </conditionalFormatting>
  <conditionalFormatting sqref="F536">
    <cfRule type="containsText" dxfId="53" priority="39" operator="containsText" text="Salah isi">
      <formula>NOT(ISERROR(SEARCH("Salah isi",F536)))</formula>
    </cfRule>
  </conditionalFormatting>
  <conditionalFormatting sqref="F564">
    <cfRule type="containsText" dxfId="52" priority="40" operator="containsText" text="Salah isi">
      <formula>NOT(ISERROR(SEARCH("Salah isi",F564)))</formula>
    </cfRule>
  </conditionalFormatting>
  <conditionalFormatting sqref="F602">
    <cfRule type="containsText" dxfId="51" priority="41" operator="containsText" text="Salah isi">
      <formula>NOT(ISERROR(SEARCH("Salah isi",F602)))</formula>
    </cfRule>
  </conditionalFormatting>
  <conditionalFormatting sqref="F938">
    <cfRule type="containsText" dxfId="50" priority="42" operator="containsText" text="Salah isi">
      <formula>NOT(ISERROR(SEARCH("Salah isi",F938)))</formula>
    </cfRule>
  </conditionalFormatting>
  <conditionalFormatting sqref="F633">
    <cfRule type="containsText" dxfId="49" priority="43" operator="containsText" text="Salah isi">
      <formula>NOT(ISERROR(SEARCH("Salah isi",F633)))</formula>
    </cfRule>
  </conditionalFormatting>
  <conditionalFormatting sqref="F648">
    <cfRule type="containsText" dxfId="48" priority="44" operator="containsText" text="Salah isi">
      <formula>NOT(ISERROR(SEARCH("Salah isi",F648)))</formula>
    </cfRule>
  </conditionalFormatting>
  <conditionalFormatting sqref="F745">
    <cfRule type="containsText" dxfId="47" priority="45" operator="containsText" text="Salah isi">
      <formula>NOT(ISERROR(SEARCH("Salah isi",F745)))</formula>
    </cfRule>
  </conditionalFormatting>
  <conditionalFormatting sqref="F946">
    <cfRule type="containsText" dxfId="46" priority="46" operator="containsText" text="Salah isi">
      <formula>NOT(ISERROR(SEARCH("Salah isi",F946)))</formula>
    </cfRule>
  </conditionalFormatting>
  <conditionalFormatting sqref="F954">
    <cfRule type="containsText" dxfId="45" priority="47" operator="containsText" text="Salah isi">
      <formula>NOT(ISERROR(SEARCH("Salah isi",F954)))</formula>
    </cfRule>
  </conditionalFormatting>
  <conditionalFormatting sqref="F962">
    <cfRule type="containsText" dxfId="44" priority="48" operator="containsText" text="Salah isi">
      <formula>NOT(ISERROR(SEARCH("Salah isi",F962)))</formula>
    </cfRule>
  </conditionalFormatting>
  <conditionalFormatting sqref="F155">
    <cfRule type="containsText" dxfId="43" priority="49" operator="containsText" text="Salah isi">
      <formula>NOT(ISERROR(SEARCH("Salah isi",F155)))</formula>
    </cfRule>
  </conditionalFormatting>
  <conditionalFormatting sqref="F162">
    <cfRule type="containsText" dxfId="42" priority="50" operator="containsText" text="Salah isi">
      <formula>NOT(ISERROR(SEARCH("Salah isi",F162)))</formula>
    </cfRule>
  </conditionalFormatting>
  <conditionalFormatting sqref="F489">
    <cfRule type="containsText" dxfId="41" priority="51" operator="containsText" text="Salah isi">
      <formula>NOT(ISERROR(SEARCH("Salah isi",F489)))</formula>
    </cfRule>
  </conditionalFormatting>
  <conditionalFormatting sqref="F154">
    <cfRule type="containsText" dxfId="40" priority="52" operator="containsText" text="Salah isi">
      <formula>NOT(ISERROR(SEARCH("Salah isi",F154)))</formula>
    </cfRule>
  </conditionalFormatting>
  <dataValidations count="12">
    <dataValidation type="list" allowBlank="1" showInputMessage="1" showErrorMessage="1" sqref="E924">
      <formula1>#REF!</formula1>
    </dataValidation>
    <dataValidation type="list" allowBlank="1" showInputMessage="1" showErrorMessage="1" sqref="E204">
      <formula1>#REF!</formula1>
    </dataValidation>
    <dataValidation type="list" allowBlank="1" showInputMessage="1" showErrorMessage="1" sqref="E211">
      <formula1>#REF!</formula1>
    </dataValidation>
    <dataValidation type="list" allowBlank="1" showInputMessage="1" showErrorMessage="1" sqref="E929">
      <formula1>#REF!</formula1>
    </dataValidation>
    <dataValidation type="list" allowBlank="1" showInputMessage="1" showErrorMessage="1" sqref="E191">
      <formula1>#REF!</formula1>
    </dataValidation>
    <dataValidation type="list" allowBlank="1" showInputMessage="1" showErrorMessage="1" sqref="E83">
      <formula1>#REF!</formula1>
    </dataValidation>
    <dataValidation type="list" allowBlank="1" showInputMessage="1" showErrorMessage="1" sqref="E249">
      <formula1>#REF!</formula1>
    </dataValidation>
    <dataValidation type="list" allowBlank="1" showInputMessage="1" showErrorMessage="1" sqref="E919">
      <formula1>#REF!</formula1>
    </dataValidation>
    <dataValidation type="list" allowBlank="1" showInputMessage="1" showErrorMessage="1" sqref="E221">
      <formula1>$E$222:$E$223</formula1>
    </dataValidation>
    <dataValidation type="list" allowBlank="1" showInputMessage="1" showErrorMessage="1" sqref="E143">
      <formula1>$E$144:$E$145</formula1>
    </dataValidation>
    <dataValidation allowBlank="1" showInputMessage="1" showErrorMessage="1" sqref="E197"/>
    <dataValidation allowBlank="1" showInputMessage="1" showErrorMessage="1" sqref="E342"/>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6"/>
  <sheetViews>
    <sheetView tabSelected="1" workbookViewId="0">
      <pane xSplit="2" ySplit="12" topLeftCell="C69" activePane="bottomRight" state="frozen"/>
      <selection pane="topRight"/>
      <selection pane="bottomLeft"/>
      <selection pane="bottomRight" activeCell="B5" sqref="B5:E5"/>
    </sheetView>
  </sheetViews>
  <sheetFormatPr defaultColWidth="8.5703125" defaultRowHeight="15.75" x14ac:dyDescent="0.25"/>
  <cols>
    <col min="1" max="1" width="5.85546875" style="1" hidden="1" customWidth="1"/>
    <col min="2" max="2" width="5.85546875" style="2" customWidth="1"/>
    <col min="3" max="3" width="28" style="3" customWidth="1"/>
    <col min="4" max="4" width="37" style="3" customWidth="1"/>
    <col min="5" max="5" width="8.5703125" style="4"/>
    <col min="6" max="6" width="9" style="1" customWidth="1"/>
    <col min="7" max="8" width="8.85546875" style="1" customWidth="1"/>
    <col min="9" max="11" width="8.5703125" style="3"/>
    <col min="12" max="15" width="8.5703125" style="1"/>
  </cols>
  <sheetData>
    <row r="1" spans="1:14" s="217" customFormat="1" ht="14.65" customHeight="1" x14ac:dyDescent="0.25">
      <c r="B1" s="380" t="s">
        <v>629</v>
      </c>
      <c r="C1" s="380"/>
      <c r="D1" s="380"/>
      <c r="E1" s="380"/>
      <c r="G1" s="380" t="s">
        <v>630</v>
      </c>
      <c r="H1" s="380"/>
      <c r="I1" s="380"/>
      <c r="J1" s="380"/>
      <c r="K1" s="380"/>
      <c r="L1" s="218"/>
    </row>
    <row r="2" spans="1:14" s="217" customFormat="1" ht="14.65" customHeight="1" x14ac:dyDescent="0.25">
      <c r="B2" s="380" t="s">
        <v>1</v>
      </c>
      <c r="C2" s="380"/>
      <c r="D2" s="380"/>
      <c r="E2" s="380"/>
      <c r="G2" s="380" t="s">
        <v>1</v>
      </c>
      <c r="H2" s="380"/>
      <c r="I2" s="380"/>
      <c r="J2" s="380"/>
      <c r="K2" s="380"/>
      <c r="L2" s="218"/>
    </row>
    <row r="3" spans="1:14" s="217" customFormat="1" ht="14.65" customHeight="1" x14ac:dyDescent="0.25">
      <c r="B3" s="380" t="str">
        <f>Menu!A5</f>
        <v>PROGRAM SARJANA</v>
      </c>
      <c r="C3" s="380"/>
      <c r="D3" s="380"/>
      <c r="E3" s="380"/>
      <c r="G3" s="380" t="str">
        <f>Menu!A5</f>
        <v>PROGRAM SARJANA</v>
      </c>
      <c r="H3" s="380"/>
      <c r="I3" s="380"/>
      <c r="J3" s="380"/>
      <c r="K3" s="380"/>
      <c r="L3" s="218"/>
    </row>
    <row r="4" spans="1:14" s="217" customFormat="1" ht="14.65" customHeight="1" x14ac:dyDescent="0.25">
      <c r="B4" s="219"/>
      <c r="C4" s="219"/>
      <c r="D4" s="219"/>
      <c r="E4" s="219"/>
      <c r="I4" s="220"/>
      <c r="J4" s="220"/>
      <c r="K4" s="220"/>
      <c r="L4" s="220"/>
      <c r="M4" s="220"/>
    </row>
    <row r="5" spans="1:14" s="217" customFormat="1" ht="14.65" customHeight="1" x14ac:dyDescent="0.25">
      <c r="B5" s="378" t="s">
        <v>631</v>
      </c>
      <c r="C5" s="378"/>
      <c r="D5" s="378"/>
      <c r="E5" s="378"/>
      <c r="G5" s="379" t="s">
        <v>632</v>
      </c>
      <c r="H5" s="379"/>
      <c r="I5" s="379"/>
      <c r="J5" s="221"/>
      <c r="K5" s="381">
        <f>SUM(H13:H87)</f>
        <v>218.21214316031131</v>
      </c>
      <c r="L5" s="381"/>
      <c r="M5" s="220"/>
      <c r="N5" s="220"/>
    </row>
    <row r="6" spans="1:14" s="217" customFormat="1" ht="14.65" customHeight="1" x14ac:dyDescent="0.25">
      <c r="B6" s="222"/>
      <c r="C6" s="220"/>
      <c r="D6" s="223"/>
      <c r="E6" s="224"/>
      <c r="G6" s="379"/>
      <c r="H6" s="379"/>
      <c r="I6" s="379"/>
      <c r="J6" s="221"/>
      <c r="K6" s="381"/>
      <c r="L6" s="381"/>
      <c r="M6" s="220"/>
      <c r="N6" s="220"/>
    </row>
    <row r="7" spans="1:14" s="217" customFormat="1" ht="14.65" customHeight="1" x14ac:dyDescent="0.25">
      <c r="B7" s="225" t="s">
        <v>8</v>
      </c>
      <c r="C7" s="220"/>
      <c r="D7" s="226" t="str">
        <f>Menu!H11</f>
        <v>Pendidikan Bahasa Arab</v>
      </c>
      <c r="E7" s="226"/>
      <c r="M7" s="220"/>
      <c r="N7" s="220"/>
    </row>
    <row r="8" spans="1:14" s="217" customFormat="1" ht="14.65" customHeight="1" x14ac:dyDescent="0.25">
      <c r="B8" s="225" t="s">
        <v>633</v>
      </c>
      <c r="C8" s="220"/>
      <c r="D8" s="226" t="str">
        <f>Menu!P20</f>
        <v>Dr.Kasmantoni. M.Si</v>
      </c>
      <c r="E8" s="226"/>
      <c r="G8" s="217" t="s">
        <v>634</v>
      </c>
      <c r="H8" s="227"/>
      <c r="K8" s="374" t="str">
        <f>IF(AND(J24="TERPENUHI",J29="TERPENUHI",J53="TERPENUHI"),"TERPENUHI","TIDAK TERPENUHI")</f>
        <v>TIDAK TERPENUHI</v>
      </c>
      <c r="L8" s="374"/>
      <c r="M8" s="374"/>
      <c r="N8" s="374"/>
    </row>
    <row r="9" spans="1:14" s="217" customFormat="1" ht="14.65" customHeight="1" x14ac:dyDescent="0.25">
      <c r="B9" s="225" t="s">
        <v>635</v>
      </c>
      <c r="C9" s="220"/>
      <c r="D9" s="29">
        <f>Menu!H12</f>
        <v>0</v>
      </c>
      <c r="E9" s="226"/>
      <c r="G9" s="217" t="s">
        <v>636</v>
      </c>
      <c r="H9" s="227"/>
      <c r="K9" s="374" t="str">
        <f>IF(AND(L30="TERPENUHI",L32="TERPENUHI",L76="TERPENUHI",L77="TERPENUHI"),"TERPENUHI","TIDAK TERPENUHI")</f>
        <v>TIDAK TERPENUHI</v>
      </c>
      <c r="L9" s="374"/>
      <c r="M9" s="374"/>
      <c r="N9" s="374"/>
    </row>
    <row r="10" spans="1:14" s="217" customFormat="1" ht="14.65" customHeight="1" x14ac:dyDescent="0.25">
      <c r="B10" s="225" t="s">
        <v>637</v>
      </c>
      <c r="C10" s="220"/>
      <c r="D10" s="228" t="str">
        <f>Menu!P24</f>
        <v>29 Agustus 2022</v>
      </c>
      <c r="E10" s="226"/>
      <c r="G10" s="217" t="s">
        <v>638</v>
      </c>
      <c r="K10" s="374" t="str">
        <f>IF(AND(N30="TERPENUHI",N32="TERPENUHI",N76="TERPENUHI",N77="TERPENUHI"),"TERPENUHI","TIDAK TERPENUHI")</f>
        <v>TIDAK TERPENUHI</v>
      </c>
      <c r="L10" s="374"/>
      <c r="M10" s="374"/>
      <c r="N10" s="374"/>
    </row>
    <row r="11" spans="1:14" s="217" customFormat="1" ht="14.65" customHeight="1" x14ac:dyDescent="0.25">
      <c r="B11" s="229"/>
      <c r="C11" s="223"/>
      <c r="D11" s="223"/>
      <c r="E11" s="224"/>
    </row>
    <row r="12" spans="1:14" s="231" customFormat="1" ht="38.65" customHeight="1" x14ac:dyDescent="0.2">
      <c r="A12" s="230" t="s">
        <v>639</v>
      </c>
      <c r="B12" s="230" t="s">
        <v>639</v>
      </c>
      <c r="C12" s="230" t="s">
        <v>640</v>
      </c>
      <c r="D12" s="230" t="s">
        <v>28</v>
      </c>
      <c r="E12" s="230" t="s">
        <v>27</v>
      </c>
      <c r="G12" s="230" t="s">
        <v>641</v>
      </c>
      <c r="H12" s="230" t="s">
        <v>642</v>
      </c>
      <c r="I12" s="375" t="s">
        <v>643</v>
      </c>
      <c r="J12" s="376"/>
      <c r="K12" s="375" t="s">
        <v>644</v>
      </c>
      <c r="L12" s="376"/>
      <c r="M12" s="377" t="s">
        <v>645</v>
      </c>
      <c r="N12" s="377"/>
    </row>
    <row r="13" spans="1:14" s="237" customFormat="1" ht="48" customHeight="1" x14ac:dyDescent="0.2">
      <c r="A13" s="232">
        <v>1</v>
      </c>
      <c r="B13" s="232">
        <f>'Kertas Kerja'!A7</f>
        <v>1</v>
      </c>
      <c r="C13" s="209" t="s">
        <v>646</v>
      </c>
      <c r="D13" s="233" t="str">
        <f>'Kertas Kerja'!H7</f>
        <v>UPPS telah mengidentifikasi kondisi lingkuangan eksternal makro dan mikro. Kondisi eksternal makro misalnya terkait dengan kondisi politik nasional,  ekonomi, kebijakan nasional, sosial, budaya, dan perkembangan IPTEKS. Akan tetapi, posisi relatif Program Studi (PS) dalam merespon lingkungan eksternal tersebut kurang tergambar secara jelas dan fungsional. Misalnya penarasian kondisi kekuatan politik Nasional bisa cenderung ke arah kiri atau kanan kurang direspon dengan posisi PS yang ada (pada UPPS) dalam menghadapi kedua kubu sistem poltik tersebut. Sementara itu, kondisi eksternal mikro lebih terkait dengan kondisi pesaing PS PBA dengan PBA yang ada di kampus lainya di daerah Sarolangun, kondisi pengguna  lulusan, calon mahasiswa, calon dosen, tenaga kependidikan, e-learning, kebutuhan dunia usaha, mitra,  dan aliansi.  Hasil idenifikasi dan posisi yang ditetapkan tidak digunakan untuk melakukan SWOT dan merumuskan strategi pengembangan  PS.</v>
      </c>
      <c r="E13" s="234">
        <f>'Kertas Kerja'!E13</f>
        <v>2</v>
      </c>
      <c r="F13" s="235"/>
      <c r="G13" s="236">
        <v>1</v>
      </c>
      <c r="H13" s="236">
        <f t="shared" ref="H13:H44" si="0">E13*G13</f>
        <v>2</v>
      </c>
      <c r="I13" s="241"/>
      <c r="J13" s="241"/>
      <c r="K13" s="241"/>
      <c r="L13" s="241"/>
      <c r="M13" s="241"/>
      <c r="N13" s="241"/>
    </row>
    <row r="14" spans="1:14" s="237" customFormat="1" ht="96" customHeight="1" x14ac:dyDescent="0.2">
      <c r="A14" s="232">
        <v>2</v>
      </c>
      <c r="B14" s="238">
        <f>'Kertas Kerja'!A15</f>
        <v>2</v>
      </c>
      <c r="C14" s="209" t="s">
        <v>647</v>
      </c>
      <c r="D14" s="239" t="str">
        <f>'Kertas Kerja'!H15</f>
        <v>Informasi yang terkait dengan profil UPPS dikemukakan secara jelas dan memadai baik  dari kreteria  sejarah UPPS, VMTS, organisasi dan tata kerja,  mahasiswa dan lulusan, SDM, dan keuangan-sarpras. Diperkuat dengan data-data yang konsisten. Akan tetapi informasi yang terkait dengan pegembangan dan reputasi sebagai rujukan di bidang keilmuannya kurang tercermin.</v>
      </c>
      <c r="E14" s="240">
        <f>'Kertas Kerja'!E21</f>
        <v>0</v>
      </c>
      <c r="F14" s="235"/>
      <c r="G14" s="236">
        <v>1</v>
      </c>
      <c r="H14" s="236">
        <f t="shared" si="0"/>
        <v>0</v>
      </c>
      <c r="I14" s="241"/>
      <c r="J14" s="241"/>
      <c r="K14" s="241"/>
      <c r="L14" s="241"/>
      <c r="M14" s="241"/>
      <c r="N14" s="241"/>
    </row>
    <row r="15" spans="1:14" s="237" customFormat="1" ht="96" customHeight="1" x14ac:dyDescent="0.2">
      <c r="A15" s="232">
        <v>3</v>
      </c>
      <c r="B15" s="238">
        <f>'Kertas Kerja'!A23</f>
        <v>3</v>
      </c>
      <c r="C15" s="210" t="s">
        <v>648</v>
      </c>
      <c r="D15" s="239" t="str">
        <f>'Kertas Kerja'!H23</f>
        <v>Visi UPPS mencerminkan visi  PT (STAI Ma'arif Sorolangun) yaitu menjadi PT Keislaman dengan keunggulan budaya kearifan lokal bereputasi nasional 2030. Demikian pula, misi, tujuan dan strategi juga searah dengan misi, tujuan, dan strategi PT, karena STAI itu sendiri dalam konteks ini sebagai UPPS.</v>
      </c>
      <c r="E15" s="240">
        <f>'Kertas Kerja'!E29</f>
        <v>3</v>
      </c>
      <c r="F15" s="235"/>
      <c r="G15" s="236">
        <v>0.51111111111110996</v>
      </c>
      <c r="H15" s="236">
        <f t="shared" si="0"/>
        <v>1.5333333333333299</v>
      </c>
      <c r="I15" s="241"/>
      <c r="J15" s="241"/>
      <c r="K15" s="241"/>
      <c r="L15" s="241"/>
      <c r="M15" s="241"/>
      <c r="N15" s="241"/>
    </row>
    <row r="16" spans="1:14" s="237" customFormat="1" ht="36" customHeight="1" x14ac:dyDescent="0.2">
      <c r="A16" s="232">
        <v>4</v>
      </c>
      <c r="B16" s="238">
        <f>'Kertas Kerja'!A31</f>
        <v>4</v>
      </c>
      <c r="C16" s="210" t="s">
        <v>51</v>
      </c>
      <c r="D16" s="239" t="str">
        <f>'Kertas Kerja'!H31</f>
        <v>Mekanisme penyusunan VMTS UPPS dimulai dengan pembentukan tim penyusun melalui SK Ketua STAI No.17/STAI-MA/sk/001.A/III/2020 yang terdiri dari unsur pimpinan Ketua, wakil ketua, PS, pengurus struktural, perwakilan mahasiswa (BEM), tenaga ahli dari PT lain (tidak disebutkan TA-nya). Selanjutnya tim melakukan kordinasi penyusunan, dan selanjutnya penatapan VMTS dalam sidang pleno. Tidak dikemukakan stakeholders lainnya, misalnya alumni, pengguna, dan pihak lain yang terkait.</v>
      </c>
      <c r="E16" s="240">
        <f>'Kertas Kerja'!E37</f>
        <v>2</v>
      </c>
      <c r="F16" s="235"/>
      <c r="G16" s="236">
        <v>1.0222222222221999</v>
      </c>
      <c r="H16" s="236">
        <f t="shared" si="0"/>
        <v>2.0444444444443999</v>
      </c>
      <c r="I16" s="241"/>
      <c r="J16" s="241"/>
      <c r="K16" s="241"/>
      <c r="L16" s="241"/>
      <c r="M16" s="241"/>
      <c r="N16" s="241"/>
    </row>
    <row r="17" spans="1:14" s="237" customFormat="1" ht="60" customHeight="1" x14ac:dyDescent="0.2">
      <c r="A17" s="232">
        <v>5</v>
      </c>
      <c r="B17" s="238">
        <f>'Kertas Kerja'!A39</f>
        <v>5</v>
      </c>
      <c r="C17" s="211" t="s">
        <v>57</v>
      </c>
      <c r="D17" s="239" t="str">
        <f>'Kertas Kerja'!H39</f>
        <v>UPPS mengembangkan strategi pencapaian tujuan melalui empat bidang, yaitu bidang pendidikan dan pengajaran, penelitian, pengabdian kepada masyarakat, dan kerjasama.  Bidang pendidikan dalam bentuk pengembangan kurikulum dan seleksi mahasiswa. Bidang penelitian melalui peningkatan kemampuan dosen dan mahasiswa dalam penelitian. Bidang PkM melalui peingkatan kualitas dan kuantitas PkM dosen dan mahasiswa. Bidang Kerjasama melalui peningkatan jumlah kerjasama pada tingkat lokal, nasional, dan internasional. Strategi pencapaian tujuan tersebut normatif, kurang spesifik, tidak jelas key performance indicatornya dan tahapan waktu pencapaiannya. Selain itu, tidak jelas pula metode yang digunakan.</v>
      </c>
      <c r="E17" s="240">
        <f>'Kertas Kerja'!E45</f>
        <v>1</v>
      </c>
      <c r="F17" s="235"/>
      <c r="G17" s="236">
        <v>1.5333333333332999</v>
      </c>
      <c r="H17" s="236">
        <f t="shared" si="0"/>
        <v>1.5333333333332999</v>
      </c>
      <c r="I17" s="241"/>
      <c r="J17" s="241"/>
      <c r="K17" s="241"/>
      <c r="L17" s="241"/>
      <c r="M17" s="241"/>
      <c r="N17" s="241"/>
    </row>
    <row r="18" spans="1:14" s="237" customFormat="1" ht="132" customHeight="1" x14ac:dyDescent="0.2">
      <c r="A18" s="232">
        <v>6</v>
      </c>
      <c r="B18" s="238">
        <f>'Kertas Kerja'!A47</f>
        <v>6</v>
      </c>
      <c r="C18" s="211" t="s">
        <v>649</v>
      </c>
      <c r="D18" s="239" t="str">
        <f>'Kertas Kerja'!H47</f>
        <v>A. UPPS memliki struktur organisasi yang mengacu pada Keputusan Ketua STAI No. 03/STAI-MA/SK/001.A/I/2014 tentang Statuta STAI Ma'arif. Struktur organisasi ini katagori lengkap dan antar unit dalam struktur memiliki hubungan hirarkis, direktif, dan kordinatif. Mulai dari Dewan penyantun, Ketua, Senat, Wakil ketua, kaprodi, dan tata usaha. Masing-masing pimpinan dilengkapi dengan tupoksi yang jelas dan rinci.Diantara tupoksi Ketua STAI misalnya "memimpin dalam menjalankan otonomi PT untuk dan atas nama Yayasan dalam penyelenggaraan pendidikan, penelitian, dan pengabdian kepada masyarakat, dst.  B. Tidak ada informasi secara jelas perihal yang terkait dengan  good governance yang kredibel, transparansi, akuntabel, dan adil. Dengan demikian tupoksi struktur organisasi yang lengkap tersebut kurang didukung oleh implementasi good governance yang  baik.</v>
      </c>
      <c r="E18" s="240">
        <f>'Kertas Kerja'!E59</f>
        <v>1.6666666666666667</v>
      </c>
      <c r="F18" s="235"/>
      <c r="G18" s="236">
        <v>0.34074074074074001</v>
      </c>
      <c r="H18" s="236">
        <f t="shared" si="0"/>
        <v>0.56790123456790009</v>
      </c>
      <c r="I18" s="241"/>
      <c r="J18" s="241"/>
      <c r="K18" s="241"/>
      <c r="L18" s="241"/>
      <c r="M18" s="241"/>
      <c r="N18" s="241"/>
    </row>
    <row r="19" spans="1:14" s="237" customFormat="1" ht="120" customHeight="1" x14ac:dyDescent="0.2">
      <c r="A19" s="232">
        <v>7</v>
      </c>
      <c r="B19" s="238">
        <f>'Kertas Kerja'!A61</f>
        <v>7</v>
      </c>
      <c r="C19" s="211" t="s">
        <v>650</v>
      </c>
      <c r="D19" s="239" t="str">
        <f>'Kertas Kerja'!H61</f>
        <v xml:space="preserve">A. UPPS memiliki kepemimpinan operasional, organisasi, dan publik. Kepemimpinan operasional tercermin dalam penempatan person sesuai dengan kebutuhan. Penempatan pengampu dosen matakuliah sesuai dengan bidang keahlian, dan penempatan jabatan sesuai dengan kemampuan. Kepemimpinan organisasi tercermin pada  pelibatan unsur pembantu ketua dalam menjalankan fungsi organisasi. Kepemipinan publik tercermin pada keterlibatan ketua dalam kegiatan di dalam kampus dan di luar kampus (kegiatan kemasyarakatan). Infromasi yang terkait dengan perihal (A) relatif normatif sekalipun diperkuat oleh dokumen sistem tata pamong.  B. Kapablitas pimpinan UPPS terdeskripsikan dalam lima hal (a) perencanaan program kerja yang dibuat oleh masing-masing devisi dengan mengacu pada VMTS, (b)  pengorganisasian yang ternarasikan bahwa masing-masing bertanggungjawab terhadap wewenang tugas sesuai  tupoksinya masing-masing, (c) stafing tercermin pada penempatan staf/karyawan berdasarkan usulan dari  pimpinan dan kompetensi yang bersangkutan, (d) leading tercermin pada dilakukannya pengarahan dengan asas demokrasi, dan (e) controlling yang dilakukan olehLPM terhadap tata kelola PS. </v>
      </c>
      <c r="E19" s="240">
        <f>'Kertas Kerja'!E73</f>
        <v>2.6666666666666665</v>
      </c>
      <c r="F19" s="235"/>
      <c r="G19" s="236">
        <v>0.34074074074074001</v>
      </c>
      <c r="H19" s="236">
        <f t="shared" si="0"/>
        <v>0.90864197530863999</v>
      </c>
      <c r="I19" s="241"/>
      <c r="J19" s="241"/>
      <c r="K19" s="241"/>
      <c r="L19" s="241"/>
      <c r="M19" s="241"/>
      <c r="N19" s="241"/>
    </row>
    <row r="20" spans="1:14" s="237" customFormat="1" ht="192" customHeight="1" x14ac:dyDescent="0.2">
      <c r="A20" s="232">
        <v>8</v>
      </c>
      <c r="B20" s="238">
        <f>'Kertas Kerja'!A75</f>
        <v>8</v>
      </c>
      <c r="C20" s="211" t="s">
        <v>651</v>
      </c>
      <c r="D20" s="239" t="str">
        <f>'Kertas Kerja'!H75</f>
        <v>UPPS menjalin kerjasama bidang pendidikan, penelitian, dan PkM yang kesemuanya dalam negeri dan lebih didominasi kerjasama denga lembaga di sekitarnya. Manfaat untuk bidang pendidikan lebih pada pertukaran dosen implementasi keilmuan dan kompetensi dosen. Manfaat bidang penelitian untuk perolehan dana dan publikasi hasil penelitian. Manfaat bidang PkM berupa peningkatan wawasan dosen di bidang pengabdian. Disebtukan, bahwa  kerjasama diperkuat dengan MoU dan SP (perlu diklarifikasi saat AL, karena tidak ada link untuk akses MoU dan SP). Tidak tercermin bagaimana kepuasan mitra kerjasama dan keberlanjutannya.</v>
      </c>
      <c r="E20" s="240">
        <f>'Kertas Kerja'!E81</f>
        <v>3</v>
      </c>
      <c r="F20" s="235"/>
      <c r="G20" s="236">
        <v>0.68148148148148002</v>
      </c>
      <c r="H20" s="236">
        <f t="shared" si="0"/>
        <v>2.0444444444444398</v>
      </c>
      <c r="I20" s="212"/>
      <c r="J20" s="212"/>
      <c r="K20" s="212"/>
      <c r="L20" s="212"/>
      <c r="M20" s="212"/>
      <c r="N20" s="212"/>
    </row>
    <row r="21" spans="1:14" s="237" customFormat="1" ht="108" customHeight="1" x14ac:dyDescent="0.2">
      <c r="A21" s="232">
        <v>9</v>
      </c>
      <c r="B21" s="238">
        <f>'Kertas Kerja'!A83</f>
        <v>9</v>
      </c>
      <c r="C21" s="211" t="s">
        <v>652</v>
      </c>
      <c r="D21" s="241" t="str">
        <f>'Kertas Kerja'!H83</f>
        <v>Kerjasama bidang pendidikan ada 9, kerjasama bidang penelitian ada 5, dan kerjasama bidang PkM juga ada lima. Tidak ditemukan kerjasama internasional.</v>
      </c>
      <c r="E21" s="236">
        <f>'Kertas Kerja'!E108</f>
        <v>3.3333333333333335</v>
      </c>
      <c r="F21" s="235"/>
      <c r="G21" s="236">
        <v>0.34074074074074001</v>
      </c>
      <c r="H21" s="236">
        <f t="shared" si="0"/>
        <v>1.1358024691358002</v>
      </c>
      <c r="I21" s="212"/>
      <c r="J21" s="212"/>
      <c r="K21" s="212"/>
      <c r="L21" s="212"/>
      <c r="M21" s="212"/>
      <c r="N21" s="212"/>
    </row>
    <row r="22" spans="1:14" s="237" customFormat="1" ht="48" customHeight="1" x14ac:dyDescent="0.2">
      <c r="A22" s="232">
        <v>10</v>
      </c>
      <c r="B22" s="238">
        <f>'Kertas Kerja'!A110</f>
        <v>10</v>
      </c>
      <c r="C22" s="211" t="s">
        <v>653</v>
      </c>
      <c r="D22" s="241" t="str">
        <f>'Kertas Kerja'!H110</f>
        <v xml:space="preserve">Indikator kinerja tambahan dari setiap kreteria tidak terinformasikan. </v>
      </c>
      <c r="E22" s="236">
        <f>'Kertas Kerja'!E116</f>
        <v>2</v>
      </c>
      <c r="F22" s="235"/>
      <c r="G22" s="236">
        <v>0.68148148148148002</v>
      </c>
      <c r="H22" s="236">
        <f t="shared" si="0"/>
        <v>1.36296296296296</v>
      </c>
      <c r="I22" s="212"/>
      <c r="J22" s="212"/>
      <c r="K22" s="212"/>
      <c r="L22" s="212"/>
      <c r="M22" s="212"/>
      <c r="N22" s="212"/>
    </row>
    <row r="23" spans="1:14" s="237" customFormat="1" ht="168" customHeight="1" x14ac:dyDescent="0.2">
      <c r="A23" s="232">
        <v>11</v>
      </c>
      <c r="B23" s="238">
        <f>'Kertas Kerja'!A118</f>
        <v>11</v>
      </c>
      <c r="C23" s="211" t="s">
        <v>654</v>
      </c>
      <c r="D23" s="241" t="str">
        <f>'Kertas Kerja'!H118</f>
        <v>UPPS telah melakukan analisis keberhasilan dan ketidakberhasilan sistem tata pamong melalui deskripsi masalah dan akar masalah, faktor pendukung dan penghambat serta  indikator ketercapaian, serta tindak lanjut. Akan tetapi, capaian kinerja masih normatif sehingga tidak dapat diukur dan hasil capaiannya juga tidak dievaluasi. Tidak terinfomasikan pula  keberkalaannya analisis capaian kinerja  (misalnya setiap tahun) dan tidak ada informasi  tentang pempublikasian kepada pemangku kepentingan.</v>
      </c>
      <c r="E23" s="236">
        <f>'Kertas Kerja'!E124</f>
        <v>1</v>
      </c>
      <c r="F23" s="235"/>
      <c r="G23" s="236">
        <v>1.0222222222221999</v>
      </c>
      <c r="H23" s="236">
        <f t="shared" si="0"/>
        <v>1.0222222222221999</v>
      </c>
      <c r="I23" s="212"/>
      <c r="J23" s="212"/>
      <c r="K23" s="212"/>
      <c r="L23" s="212"/>
      <c r="M23" s="212"/>
      <c r="N23" s="212"/>
    </row>
    <row r="24" spans="1:14" s="237" customFormat="1" ht="168" customHeight="1" x14ac:dyDescent="0.2">
      <c r="A24" s="232">
        <v>12</v>
      </c>
      <c r="B24" s="238">
        <f>'Kertas Kerja'!A126</f>
        <v>12</v>
      </c>
      <c r="C24" s="211" t="s">
        <v>655</v>
      </c>
      <c r="D24" s="241" t="str">
        <f>'Kertas Kerja'!H126</f>
        <v>Sistem penjaminan mutu di UPPS dikoordinir oleh LPM STAI Ma'arif  Sarolangun. Dokumen yang dimiliki manual mutu tata pamong, SOP, Buku pedoman akademik, dan buku pedoman lainnya (penelitian, PkM, Keuanganm dll), serta  formulir mutu. Kebijakan mutu dan standar mutu tidak terinformasikan. Dokumen legal pembentukan pelaksana penjaminan mutu misalnya SK Ketua No. 045/STAI-MA/SK/001.A/III/2011. UPPS melakukan siklus penjaminan mutu mulai penetapan standar (sistem tata pamong, dan lainnya), pelaksanaan standar melalui audit internal oleh LPM, evaluasi standar melalui rapat, pengendalian standar dengan melakukan peningkatan secara kontinyus. Peningkatan standar dengan menjadikan temuan untuk dijadikan bahan untuk tindak lanjut (informasi yng terkait dengan siklus PPEPP masih normtif dan kurang sistematis). Dikemukakan, bahwa  LPM membuat laporan hasil evaluasi secara periodik, hasil PPEPP terdokumentasikan dalam spridseet exel google form. External Banchmarking yang dijadikan acuan adalah  Fakultas Tarbiyah (PBA) UIN Sultan Taha Saifuddin Jambi) yang sudah terakrditasi A.</v>
      </c>
      <c r="E24" s="240">
        <f>'Kertas Kerja'!E132</f>
        <v>2.5</v>
      </c>
      <c r="F24" s="235"/>
      <c r="G24" s="236">
        <v>1.362962962963</v>
      </c>
      <c r="H24" s="236">
        <f t="shared" si="0"/>
        <v>3.4074074074074998</v>
      </c>
      <c r="I24" s="212" t="s">
        <v>656</v>
      </c>
      <c r="J24" s="212" t="str">
        <f>IF(E24&gt;=2,"TERPENUHI","TIDAK TERPENUHI")</f>
        <v>TERPENUHI</v>
      </c>
      <c r="K24" s="212"/>
      <c r="L24" s="212"/>
      <c r="M24" s="212"/>
      <c r="N24" s="212"/>
    </row>
    <row r="25" spans="1:14" s="237" customFormat="1" ht="264" customHeight="1" x14ac:dyDescent="0.2">
      <c r="A25" s="232">
        <v>13</v>
      </c>
      <c r="B25" s="238">
        <f>'Kertas Kerja'!A134</f>
        <v>13</v>
      </c>
      <c r="C25" s="211" t="s">
        <v>657</v>
      </c>
      <c r="D25" s="241" t="str">
        <f>'Kertas Kerja'!H134</f>
        <v>Diinformasikan bahwa pengukuran kepuasan layanan manajemen menggunakan instrumen google form. Akan tetapi laporan konkret tentang tingkat kepuasan pemangku kepentingan tidak ada dan tidak ada link untuk akses. Pengukuran kepuasan dilakukan 6 bulan sekali (berkala). Tidak dijelaskan metode analisisnya secara spesifik (hanya dijelaskan metode statistik). Diinformasikan bahwa hasil pengukuran dipublikasikan di web site kampus, tetapi laman webnya tidak diinformasikan sehingga tidak bisa diakses.</v>
      </c>
      <c r="E25" s="240">
        <f>'Kertas Kerja'!E140</f>
        <v>2</v>
      </c>
      <c r="F25" s="235"/>
      <c r="G25" s="236">
        <v>1.362962962963</v>
      </c>
      <c r="H25" s="236">
        <f t="shared" si="0"/>
        <v>2.725925925926</v>
      </c>
      <c r="I25" s="212"/>
      <c r="J25" s="212"/>
      <c r="K25" s="212"/>
      <c r="L25" s="212"/>
      <c r="M25" s="212"/>
      <c r="N25" s="212"/>
    </row>
    <row r="26" spans="1:14" s="237" customFormat="1" ht="84" customHeight="1" x14ac:dyDescent="0.2">
      <c r="A26" s="232">
        <v>14</v>
      </c>
      <c r="B26" s="238">
        <f>'Kertas Kerja'!A142</f>
        <v>14</v>
      </c>
      <c r="C26" s="211" t="s">
        <v>658</v>
      </c>
      <c r="D26" s="241" t="str">
        <f>'Kertas Kerja'!H142</f>
        <v>Jumlah calon mahasiswa yang ikut seleksi 495 dan yang lulus seleksi 129.</v>
      </c>
      <c r="E26" s="240">
        <f>'Kertas Kerja'!E160</f>
        <v>3.0697674418604652</v>
      </c>
      <c r="F26" s="235"/>
      <c r="G26" s="236">
        <v>4.5999999999999996</v>
      </c>
      <c r="H26" s="236">
        <f t="shared" si="0"/>
        <v>14.120930232558139</v>
      </c>
      <c r="I26" s="212"/>
      <c r="J26" s="212"/>
      <c r="K26" s="212"/>
      <c r="L26" s="212"/>
      <c r="M26" s="212"/>
      <c r="N26" s="212"/>
    </row>
    <row r="27" spans="1:14" s="237" customFormat="1" ht="60" customHeight="1" x14ac:dyDescent="0.2">
      <c r="A27" s="232">
        <v>15</v>
      </c>
      <c r="B27" s="238">
        <f>'Kertas Kerja'!A162</f>
        <v>15</v>
      </c>
      <c r="C27" s="211" t="s">
        <v>659</v>
      </c>
      <c r="D27" s="241" t="str">
        <f>'Kertas Kerja'!H162</f>
        <v>Animo calon mahasiswa dalam tiga tahun (khususnya mahasiswa PBA) fluktuatif (naik-turun). Dalam konteks ini, UPPS membangun sinergisitas antara UPPS dengan PS, memperbaharui strategi bersama stakeholders, dan lainnya. Akan tetapi, upaya yang dinofrmasikan sangat normatif. Upaya yang dilakukan tidak meningkatkan animo calon mahasiswa baru.</v>
      </c>
      <c r="E27" s="240">
        <f>'Kertas Kerja'!E175</f>
        <v>2</v>
      </c>
      <c r="F27" s="235"/>
      <c r="G27" s="236">
        <v>3.0666666666667002</v>
      </c>
      <c r="H27" s="236">
        <f t="shared" si="0"/>
        <v>6.1333333333334004</v>
      </c>
      <c r="I27" s="212"/>
      <c r="J27" s="212"/>
      <c r="K27" s="212"/>
      <c r="L27" s="212"/>
      <c r="M27" s="212"/>
      <c r="N27" s="212"/>
    </row>
    <row r="28" spans="1:14" s="237" customFormat="1" ht="108" customHeight="1" x14ac:dyDescent="0.2">
      <c r="A28" s="232">
        <v>16</v>
      </c>
      <c r="B28" s="238">
        <f>'Kertas Kerja'!A177</f>
        <v>16</v>
      </c>
      <c r="C28" s="211" t="s">
        <v>660</v>
      </c>
      <c r="D28" s="241" t="str">
        <f>'Kertas Kerja'!H177</f>
        <v>A. Layanan kemahasiswaan meliputi (a) penalaran, minat, dan bakat (diskusi ilmiah, futsal, tilawah, dan kebahasaan), (b) bimbingan karir dan kewirausahaan (memberi informasi dunia usaha dan UMKM yang bisa diikuti oleh mahasiswa), (c) kesejahteraan (bimbingan akademik, layanan beasiswa KIP, dan pelayanan kesehatan melalui puskesmas kesehatan. Informasi yang terkait dengan layanan kemahasiswaan cendrung normatif. B.  akses layanan lebih pada (a) dan (c) dan jenisnya tunggal.</v>
      </c>
      <c r="E28" s="240">
        <f>'Kertas Kerja'!E189</f>
        <v>2.1666666666666665</v>
      </c>
      <c r="F28" s="235"/>
      <c r="G28" s="236">
        <v>1.5333333333332999</v>
      </c>
      <c r="H28" s="236">
        <f t="shared" si="0"/>
        <v>3.3222222222221496</v>
      </c>
      <c r="I28" s="212"/>
      <c r="J28" s="212"/>
      <c r="K28" s="212"/>
      <c r="L28" s="212"/>
      <c r="M28" s="212"/>
      <c r="N28" s="212"/>
    </row>
    <row r="29" spans="1:14" s="237" customFormat="1" ht="60" customHeight="1" x14ac:dyDescent="0.2">
      <c r="A29" s="232">
        <v>17</v>
      </c>
      <c r="B29" s="238">
        <f>'Kertas Kerja'!A191</f>
        <v>17</v>
      </c>
      <c r="C29" s="211" t="s">
        <v>661</v>
      </c>
      <c r="D29" s="241" t="str">
        <f>'Kertas Kerja'!H191</f>
        <v>CATATAN: dari 12 dosen tersebut, hanya lima orang dosen yang berlatar  belakang pendidikan sesuai dengan PS.</v>
      </c>
      <c r="E29" s="240">
        <f>'Kertas Kerja'!E195</f>
        <v>4</v>
      </c>
      <c r="F29" s="235"/>
      <c r="G29" s="236">
        <v>0.74343434343434001</v>
      </c>
      <c r="H29" s="236">
        <f t="shared" si="0"/>
        <v>2.97373737373736</v>
      </c>
      <c r="I29" s="212" t="s">
        <v>656</v>
      </c>
      <c r="J29" s="212" t="str">
        <f>IF(E29&gt;=2,"TERPENUHI","TIDAK TERPENUHI")</f>
        <v>TERPENUHI</v>
      </c>
      <c r="K29" s="212"/>
      <c r="L29" s="212"/>
      <c r="M29" s="212"/>
      <c r="N29" s="212"/>
    </row>
    <row r="30" spans="1:14" s="237" customFormat="1" ht="24" customHeight="1" x14ac:dyDescent="0.2">
      <c r="A30" s="232">
        <v>18</v>
      </c>
      <c r="B30" s="238">
        <f>'Kertas Kerja'!A197</f>
        <v>18</v>
      </c>
      <c r="C30" s="211" t="s">
        <v>189</v>
      </c>
      <c r="D30" s="241" t="str">
        <f>'Kertas Kerja'!H197</f>
        <v>Pendidikan terakhir dosen S2</v>
      </c>
      <c r="E30" s="240">
        <f>'Kertas Kerja'!E202</f>
        <v>2</v>
      </c>
      <c r="F30" s="235"/>
      <c r="G30" s="236">
        <v>0.99124579124579004</v>
      </c>
      <c r="H30" s="236">
        <f t="shared" si="0"/>
        <v>1.9824915824915801</v>
      </c>
      <c r="I30" s="212"/>
      <c r="J30" s="212"/>
      <c r="K30" s="212" t="s">
        <v>662</v>
      </c>
      <c r="L30" s="212" t="str">
        <f>IF(E30&gt;=3.5,"TERPENUHI","TIDAK TERPENUHI")</f>
        <v>TIDAK TERPENUHI</v>
      </c>
      <c r="M30" s="212" t="s">
        <v>663</v>
      </c>
      <c r="N30" s="212" t="str">
        <f>IF(E30&gt;=3,"TERPENUHI","TIDAK TERPENUHI")</f>
        <v>TIDAK TERPENUHI</v>
      </c>
    </row>
    <row r="31" spans="1:14" s="237" customFormat="1" ht="12" hidden="1" customHeight="1" x14ac:dyDescent="0.2">
      <c r="A31" s="232">
        <v>19</v>
      </c>
      <c r="B31" s="238">
        <f>'Kertas Kerja'!A204</f>
        <v>0</v>
      </c>
      <c r="C31" s="214"/>
      <c r="D31" s="241">
        <f>'Kertas Kerja'!H204</f>
        <v>0</v>
      </c>
      <c r="E31" s="240">
        <f>'Kertas Kerja'!E209</f>
        <v>0</v>
      </c>
      <c r="F31" s="235"/>
      <c r="G31" s="236"/>
      <c r="H31" s="236">
        <f t="shared" si="0"/>
        <v>0</v>
      </c>
      <c r="I31" s="212"/>
      <c r="J31" s="212"/>
      <c r="K31" s="212"/>
      <c r="L31" s="212"/>
      <c r="M31" s="212"/>
      <c r="N31" s="212"/>
    </row>
    <row r="32" spans="1:14" s="237" customFormat="1" ht="24" customHeight="1" x14ac:dyDescent="0.2">
      <c r="A32" s="232">
        <v>20</v>
      </c>
      <c r="B32" s="238">
        <f>'Kertas Kerja'!A211</f>
        <v>19</v>
      </c>
      <c r="C32" s="211" t="s">
        <v>192</v>
      </c>
      <c r="D32" s="241" t="str">
        <f>'Kertas Kerja'!H211</f>
        <v>Dari 12 orang dosen, hanya 5 orang yang memiliki jabatan akademik lektor.</v>
      </c>
      <c r="E32" s="240">
        <f>'Kertas Kerja'!E218</f>
        <v>3.1904761904761907</v>
      </c>
      <c r="F32" s="235"/>
      <c r="G32" s="236">
        <v>0.49562289562290002</v>
      </c>
      <c r="H32" s="236">
        <f t="shared" si="0"/>
        <v>1.5812730479397288</v>
      </c>
      <c r="I32" s="212"/>
      <c r="J32" s="212"/>
      <c r="K32" s="212" t="s">
        <v>662</v>
      </c>
      <c r="L32" s="212" t="str">
        <f>IF(E32&gt;=3.5,"TERPENUHI","TIDAK TERPENUHI")</f>
        <v>TIDAK TERPENUHI</v>
      </c>
      <c r="M32" s="212" t="s">
        <v>663</v>
      </c>
      <c r="N32" s="212" t="str">
        <f>IF(E32&gt;=3,"TERPENUHI","TIDAK TERPENUHI")</f>
        <v>TERPENUHI</v>
      </c>
    </row>
    <row r="33" spans="1:14" s="237" customFormat="1" ht="48" customHeight="1" x14ac:dyDescent="0.2">
      <c r="A33" s="232">
        <v>21</v>
      </c>
      <c r="B33" s="238">
        <f>'Kertas Kerja'!A220</f>
        <v>20</v>
      </c>
      <c r="C33" s="211" t="s">
        <v>664</v>
      </c>
      <c r="D33" s="241" t="str">
        <f>'Kertas Kerja'!H220</f>
        <v>Jumlah dosen lebih banyak daripada jumlah mahasiswa pada saat TS. (perlu klarifikasi saat AL).</v>
      </c>
      <c r="E33" s="240">
        <f>'Kertas Kerja'!E239</f>
        <v>0.14666666666666667</v>
      </c>
      <c r="F33" s="235"/>
      <c r="G33" s="236">
        <v>0.49562289562290002</v>
      </c>
      <c r="H33" s="236">
        <f t="shared" si="0"/>
        <v>7.2691358024691996E-2</v>
      </c>
      <c r="I33" s="212"/>
      <c r="J33" s="212"/>
      <c r="K33" s="212"/>
      <c r="L33" s="212"/>
      <c r="M33" s="212"/>
      <c r="N33" s="212"/>
    </row>
    <row r="34" spans="1:14" s="237" customFormat="1" ht="36" customHeight="1" x14ac:dyDescent="0.2">
      <c r="A34" s="232">
        <v>22</v>
      </c>
      <c r="B34" s="238">
        <f>'Kertas Kerja'!A241</f>
        <v>21</v>
      </c>
      <c r="C34" s="211" t="s">
        <v>210</v>
      </c>
      <c r="D34" s="241" t="str">
        <f>'Kertas Kerja'!H241</f>
        <v>Rerata jumlah mahasiswa yang dibimbing 1: 3,33.</v>
      </c>
      <c r="E34" s="240">
        <f>'Kertas Kerja'!E247</f>
        <v>4</v>
      </c>
      <c r="F34" s="235"/>
      <c r="G34" s="236">
        <v>0.99124579124579004</v>
      </c>
      <c r="H34" s="236">
        <f t="shared" si="0"/>
        <v>3.9649831649831602</v>
      </c>
      <c r="I34" s="212"/>
      <c r="J34" s="212"/>
      <c r="K34" s="212"/>
      <c r="L34" s="212"/>
      <c r="M34" s="212"/>
      <c r="N34" s="212"/>
    </row>
    <row r="35" spans="1:14" s="237" customFormat="1" ht="36" customHeight="1" x14ac:dyDescent="0.2">
      <c r="A35" s="232">
        <v>23</v>
      </c>
      <c r="B35" s="238">
        <f>'Kertas Kerja'!A249</f>
        <v>22</v>
      </c>
      <c r="C35" s="211" t="s">
        <v>214</v>
      </c>
      <c r="D35" s="241" t="str">
        <f>'Kertas Kerja'!H249</f>
        <v>Beban mengajar dosen 12 sks.</v>
      </c>
      <c r="E35" s="240">
        <f>'Kertas Kerja'!E257</f>
        <v>4</v>
      </c>
      <c r="F35" s="235"/>
      <c r="G35" s="236">
        <v>0.24781144781145001</v>
      </c>
      <c r="H35" s="236">
        <f t="shared" si="0"/>
        <v>0.99124579124580003</v>
      </c>
      <c r="I35" s="212"/>
      <c r="J35" s="212"/>
      <c r="K35" s="212"/>
      <c r="L35" s="212"/>
      <c r="M35" s="212"/>
      <c r="N35" s="212"/>
    </row>
    <row r="36" spans="1:14" s="237" customFormat="1" ht="24" customHeight="1" x14ac:dyDescent="0.2">
      <c r="A36" s="232">
        <v>24</v>
      </c>
      <c r="B36" s="238">
        <f>'Kertas Kerja'!A259</f>
        <v>23</v>
      </c>
      <c r="C36" s="211" t="s">
        <v>219</v>
      </c>
      <c r="D36" s="241" t="str">
        <f>'Kertas Kerja'!H259</f>
        <v>PS tidak memiliki dosen tidak tetap: CATATAN: jumlah dosen 12 atau 14 (perlu diklarifikasi).</v>
      </c>
      <c r="E36" s="240">
        <f>'Kertas Kerja'!E265</f>
        <v>4</v>
      </c>
      <c r="F36" s="235"/>
      <c r="G36" s="236">
        <v>0.49562289562290002</v>
      </c>
      <c r="H36" s="236">
        <f t="shared" si="0"/>
        <v>1.9824915824916001</v>
      </c>
      <c r="I36" s="212"/>
      <c r="J36" s="212"/>
      <c r="K36" s="212"/>
      <c r="L36" s="212"/>
      <c r="M36" s="212"/>
      <c r="N36" s="212"/>
    </row>
    <row r="37" spans="1:14" s="237" customFormat="1" ht="12" hidden="1" customHeight="1" x14ac:dyDescent="0.2">
      <c r="A37" s="232">
        <v>25</v>
      </c>
      <c r="B37" s="238">
        <f>'Kertas Kerja'!A267</f>
        <v>0</v>
      </c>
      <c r="C37" s="214"/>
      <c r="D37" s="241">
        <f>'Kertas Kerja'!H267</f>
        <v>0</v>
      </c>
      <c r="E37" s="240">
        <f>'Kertas Kerja'!E272</f>
        <v>0</v>
      </c>
      <c r="F37" s="235"/>
      <c r="G37" s="236"/>
      <c r="H37" s="236">
        <f t="shared" si="0"/>
        <v>0</v>
      </c>
      <c r="I37" s="212"/>
      <c r="J37" s="212"/>
      <c r="K37" s="212"/>
      <c r="L37" s="212"/>
      <c r="M37" s="212"/>
      <c r="N37" s="212"/>
    </row>
    <row r="38" spans="1:14" s="237" customFormat="1" ht="48" customHeight="1" x14ac:dyDescent="0.2">
      <c r="A38" s="232">
        <v>26</v>
      </c>
      <c r="B38" s="238">
        <f>'Kertas Kerja'!A274</f>
        <v>24</v>
      </c>
      <c r="C38" s="211" t="s">
        <v>665</v>
      </c>
      <c r="D38" s="241" t="str">
        <f>'Kertas Kerja'!H274</f>
        <v xml:space="preserve"> Pengakuan/rekognisi lebih pada sebagai keynote speaker di tingkat lokal, bukan nasional dan atau internasional (ada lima dosen). CATATAN: pada skor dalam tabel penilaian perlu diperbaiki saat AL, karena yang ada hanya pada level wilayah.</v>
      </c>
      <c r="E38" s="240">
        <f>'Kertas Kerja'!E279</f>
        <v>3.666666666666667</v>
      </c>
      <c r="F38" s="235"/>
      <c r="G38" s="236">
        <v>0.81101928374655996</v>
      </c>
      <c r="H38" s="236">
        <f t="shared" si="0"/>
        <v>2.9737373737373867</v>
      </c>
      <c r="I38" s="212"/>
      <c r="J38" s="212"/>
      <c r="K38" s="212"/>
      <c r="L38" s="212"/>
      <c r="M38" s="212"/>
      <c r="N38" s="212"/>
    </row>
    <row r="39" spans="1:14" s="237" customFormat="1" ht="48" customHeight="1" x14ac:dyDescent="0.2">
      <c r="A39" s="232">
        <v>27</v>
      </c>
      <c r="B39" s="238">
        <f>'Kertas Kerja'!A281</f>
        <v>25</v>
      </c>
      <c r="C39" s="211" t="s">
        <v>227</v>
      </c>
      <c r="D39" s="241" t="str">
        <f>'Kertas Kerja'!H281</f>
        <v>Selama tiga tahun ada 18 judul penelitian atas biaya mandiri atau PT sendiri (perlu dicek  laporan penelitian).</v>
      </c>
      <c r="E39" s="240">
        <f>'Kertas Kerja'!E297</f>
        <v>1</v>
      </c>
      <c r="F39" s="235"/>
      <c r="G39" s="236">
        <v>0.81101928374655996</v>
      </c>
      <c r="H39" s="236">
        <f t="shared" si="0"/>
        <v>0.81101928374655996</v>
      </c>
      <c r="I39" s="212"/>
      <c r="J39" s="212"/>
      <c r="K39" s="212"/>
      <c r="L39" s="212"/>
      <c r="M39" s="212"/>
      <c r="N39" s="212"/>
    </row>
    <row r="40" spans="1:14" s="237" customFormat="1" ht="48" customHeight="1" x14ac:dyDescent="0.2">
      <c r="A40" s="232">
        <v>28</v>
      </c>
      <c r="B40" s="238">
        <f>'Kertas Kerja'!A299</f>
        <v>26</v>
      </c>
      <c r="C40" s="211" t="s">
        <v>239</v>
      </c>
      <c r="D40" s="241" t="str">
        <f>'Kertas Kerja'!H299</f>
        <v>Ada 12 kegiatan PkM dosen selama tiga tahun terakhir dan atas biaya mandiri atau PT sendiri.</v>
      </c>
      <c r="E40" s="240">
        <f>'Kertas Kerja'!E315</f>
        <v>0.66666666666666663</v>
      </c>
      <c r="F40" s="235"/>
      <c r="G40" s="236">
        <v>0.40550964187327998</v>
      </c>
      <c r="H40" s="236">
        <f t="shared" si="0"/>
        <v>0.27033976124885328</v>
      </c>
      <c r="I40" s="212"/>
      <c r="J40" s="212"/>
      <c r="K40" s="212"/>
      <c r="L40" s="212"/>
      <c r="M40" s="212"/>
      <c r="N40" s="212"/>
    </row>
    <row r="41" spans="1:14" s="237" customFormat="1" ht="60" customHeight="1" x14ac:dyDescent="0.2">
      <c r="A41" s="232">
        <v>29</v>
      </c>
      <c r="B41" s="238">
        <f>'Kertas Kerja'!A317</f>
        <v>27</v>
      </c>
      <c r="C41" s="212" t="s">
        <v>243</v>
      </c>
      <c r="D41" s="241" t="str">
        <f>'Kertas Kerja'!H317</f>
        <v>Ada 36 jumlah publikasi di jurnal tidak terakreditasi, 2 judul publikasi nasional, dan 5 judul publikasi lokal. (Cek dokumen saat AL)</v>
      </c>
      <c r="E41" s="240">
        <f>'Kertas Kerja'!E340</f>
        <v>2.1666666666666665</v>
      </c>
      <c r="F41" s="235"/>
      <c r="G41" s="236">
        <v>0.81101928374655996</v>
      </c>
      <c r="H41" s="236">
        <f t="shared" si="0"/>
        <v>1.7572084481175465</v>
      </c>
      <c r="I41" s="212"/>
      <c r="J41" s="212"/>
      <c r="K41" s="212"/>
      <c r="L41" s="212"/>
      <c r="M41" s="212"/>
      <c r="N41" s="212"/>
    </row>
    <row r="42" spans="1:14" s="237" customFormat="1" ht="36" customHeight="1" x14ac:dyDescent="0.2">
      <c r="A42" s="232">
        <v>30</v>
      </c>
      <c r="B42" s="238">
        <f>'Kertas Kerja'!A342</f>
        <v>28</v>
      </c>
      <c r="C42" s="213" t="s">
        <v>257</v>
      </c>
      <c r="D42" s="241" t="str">
        <f>'Kertas Kerja'!H342</f>
        <v>Tidak ada artikel yang disitasi</v>
      </c>
      <c r="E42" s="240">
        <f>'Kertas Kerja'!E347</f>
        <v>2</v>
      </c>
      <c r="F42" s="235"/>
      <c r="G42" s="236">
        <v>0.81101928374655996</v>
      </c>
      <c r="H42" s="236">
        <f t="shared" si="0"/>
        <v>1.6220385674931199</v>
      </c>
      <c r="I42" s="212"/>
      <c r="J42" s="212"/>
      <c r="K42" s="212"/>
      <c r="L42" s="212"/>
      <c r="M42" s="212"/>
      <c r="N42" s="212"/>
    </row>
    <row r="43" spans="1:14" s="237" customFormat="1" ht="12" hidden="1" customHeight="1" x14ac:dyDescent="0.2">
      <c r="A43" s="232">
        <v>31</v>
      </c>
      <c r="B43" s="238">
        <f>'Kertas Kerja'!A349</f>
        <v>0</v>
      </c>
      <c r="C43" s="214"/>
      <c r="D43" s="241">
        <f>'Kertas Kerja'!H349</f>
        <v>0</v>
      </c>
      <c r="E43" s="240">
        <f>'Kertas Kerja'!E354</f>
        <v>0</v>
      </c>
      <c r="F43" s="235"/>
      <c r="G43" s="236"/>
      <c r="H43" s="236">
        <f t="shared" si="0"/>
        <v>0</v>
      </c>
      <c r="I43" s="212"/>
      <c r="J43" s="212"/>
      <c r="K43" s="212"/>
      <c r="L43" s="212"/>
      <c r="M43" s="212"/>
      <c r="N43" s="212"/>
    </row>
    <row r="44" spans="1:14" s="237" customFormat="1" ht="36" customHeight="1" x14ac:dyDescent="0.2">
      <c r="A44" s="232">
        <v>32</v>
      </c>
      <c r="B44" s="238">
        <f>'Kertas Kerja'!A356</f>
        <v>29</v>
      </c>
      <c r="C44" s="213" t="s">
        <v>260</v>
      </c>
      <c r="D44" s="241" t="str">
        <f>'Kertas Kerja'!H356</f>
        <v>Tidak ada luaran penelitian dan PkM yang memperoleh HaKI</v>
      </c>
      <c r="E44" s="240">
        <f>'Kertas Kerja'!E364</f>
        <v>2</v>
      </c>
      <c r="F44" s="235"/>
      <c r="G44" s="236">
        <v>0.81101928374655996</v>
      </c>
      <c r="H44" s="236">
        <f t="shared" si="0"/>
        <v>1.6220385674931199</v>
      </c>
      <c r="I44" s="212"/>
      <c r="J44" s="212"/>
      <c r="K44" s="212"/>
      <c r="L44" s="212"/>
      <c r="M44" s="212"/>
      <c r="N44" s="212"/>
    </row>
    <row r="45" spans="1:14" s="237" customFormat="1" ht="24" customHeight="1" x14ac:dyDescent="0.2">
      <c r="A45" s="232">
        <v>33</v>
      </c>
      <c r="B45" s="238">
        <f>'Kertas Kerja'!A366</f>
        <v>30</v>
      </c>
      <c r="C45" s="211" t="s">
        <v>666</v>
      </c>
      <c r="D45" s="241" t="str">
        <f>'Kertas Kerja'!H366</f>
        <v>Upaya pengembangan dosen melalui pemberian kesempatan (pemberian bantuan uang pada semester pertama), bantuan penerbitan buku, pembuatan HaKI buku (realitas tidak ada), bantuan penerbitan artikel pada jurnal terakreditasi nasional, dan biaya pelaksanaan seminar.</v>
      </c>
      <c r="E45" s="240">
        <f>'Kertas Kerja'!E373</f>
        <v>2</v>
      </c>
      <c r="F45" s="235"/>
      <c r="G45" s="236">
        <v>2.2303030303029998</v>
      </c>
      <c r="H45" s="236">
        <f t="shared" ref="H45:H76" si="1">E45*G45</f>
        <v>4.4606060606059996</v>
      </c>
      <c r="I45" s="212"/>
      <c r="J45" s="212"/>
      <c r="K45" s="212"/>
      <c r="L45" s="212"/>
      <c r="M45" s="212"/>
      <c r="N45" s="212"/>
    </row>
    <row r="46" spans="1:14" s="237" customFormat="1" ht="96" customHeight="1" x14ac:dyDescent="0.2">
      <c r="A46" s="232">
        <v>34</v>
      </c>
      <c r="B46" s="238">
        <f>'Kertas Kerja'!A375</f>
        <v>31</v>
      </c>
      <c r="C46" s="211" t="s">
        <v>667</v>
      </c>
      <c r="D46" s="241" t="str">
        <f>'Kertas Kerja'!H375</f>
        <v xml:space="preserve">A. UPPS memiliki  enam tenaga kependidikan. Seorang kepala perpustakaan dengan latar bekalang S1 perpustakaan.  Dua orang tenga kepustakaan yang berlatar belakang non-kepustakaan. Tiga orang statf tata usaha yang berlatar belakang pendidikan S1 PBA dan S1 Ekonomi Syari'ah. Tidak dikemukakan tenaga kependidikan sebagai teknisi, laboran,  dan programer. Secara kuantitas memenuhi kecukupan, akan tetapi secara kualitatif kurang memadai, terutama yang terkait dengan pemanfaatan teknologi informasi dan komputer dalam proses administrasi. B. UPPS tidak memiliki tenaga laboran. </v>
      </c>
      <c r="E46" s="240">
        <f>'Kertas Kerja'!E387</f>
        <v>1</v>
      </c>
      <c r="F46" s="235"/>
      <c r="G46" s="236">
        <v>1.1151515151514999</v>
      </c>
      <c r="H46" s="236">
        <f t="shared" si="1"/>
        <v>1.1151515151514999</v>
      </c>
      <c r="I46" s="212"/>
      <c r="J46" s="212"/>
      <c r="K46" s="212"/>
      <c r="L46" s="212"/>
      <c r="M46" s="212"/>
      <c r="N46" s="212"/>
    </row>
    <row r="47" spans="1:14" s="237" customFormat="1" ht="60" customHeight="1" x14ac:dyDescent="0.2">
      <c r="A47" s="232">
        <v>35</v>
      </c>
      <c r="B47" s="238">
        <f>'Kertas Kerja'!A389</f>
        <v>32</v>
      </c>
      <c r="C47" s="211" t="s">
        <v>668</v>
      </c>
      <c r="D47" s="241" t="str">
        <f>'Kertas Kerja'!H389</f>
        <v>Pada tabel 4 LKPS, biaya operasional pendidikan dalam tiga tahun terakhir 3.997.777.778. Jumlah mahasiswa aktif pada TS sebanyak 11 orang (perlu diklarifikasi saat AL)</v>
      </c>
      <c r="E47" s="240">
        <f>'Kertas Kerja'!E394</f>
        <v>6.6666666666666655E-8</v>
      </c>
      <c r="F47" s="235"/>
      <c r="G47" s="236">
        <v>0.76666666666667005</v>
      </c>
      <c r="H47" s="236">
        <f t="shared" si="1"/>
        <v>5.1111111111111326E-8</v>
      </c>
      <c r="I47" s="212"/>
      <c r="J47" s="212"/>
      <c r="K47" s="212"/>
      <c r="L47" s="212"/>
      <c r="M47" s="212"/>
      <c r="N47" s="212"/>
    </row>
    <row r="48" spans="1:14" s="237" customFormat="1" ht="24" customHeight="1" x14ac:dyDescent="0.2">
      <c r="A48" s="232">
        <v>36</v>
      </c>
      <c r="B48" s="238">
        <f>'Kertas Kerja'!A396</f>
        <v>33</v>
      </c>
      <c r="C48" s="211" t="s">
        <v>293</v>
      </c>
      <c r="D48" s="241" t="str">
        <f>'Kertas Kerja'!H396</f>
        <v>Pada tabel 4 LKPS, rerata jumlah dana penelitian yang diperoleh dalam tiga tahun terakhir  Rp. 130.000.000. Jumlah dosen 12 orang.</v>
      </c>
      <c r="E48" s="240">
        <f>'Kertas Kerja'!E401</f>
        <v>4.3333333333333331E-6</v>
      </c>
      <c r="F48" s="235"/>
      <c r="G48" s="236">
        <v>0.76666666666667005</v>
      </c>
      <c r="H48" s="236">
        <f t="shared" si="1"/>
        <v>3.3222222222222365E-6</v>
      </c>
      <c r="I48" s="212"/>
      <c r="J48" s="212"/>
      <c r="K48" s="212"/>
      <c r="L48" s="212"/>
      <c r="M48" s="212"/>
      <c r="N48" s="212"/>
    </row>
    <row r="49" spans="1:14" s="237" customFormat="1" ht="36" customHeight="1" x14ac:dyDescent="0.2">
      <c r="A49" s="232">
        <v>37</v>
      </c>
      <c r="B49" s="238">
        <f>'Kertas Kerja'!A403</f>
        <v>34</v>
      </c>
      <c r="C49" s="211" t="s">
        <v>296</v>
      </c>
      <c r="D49" s="241" t="str">
        <f>'Kertas Kerja'!H403</f>
        <v>Pada tabel 4 LKPS, rerata jumlah dana PkM yang diperoleh dalam tiga tahun terakhir  Rp. 65.000.000. Jumlah dosen 12 orang.</v>
      </c>
      <c r="E49" s="240">
        <f>'Kertas Kerja'!E408</f>
        <v>4.3333333333333331E-6</v>
      </c>
      <c r="F49" s="235"/>
      <c r="G49" s="236">
        <v>0.38333333333332997</v>
      </c>
      <c r="H49" s="236">
        <f t="shared" si="1"/>
        <v>1.6611111111110965E-6</v>
      </c>
      <c r="I49" s="212"/>
      <c r="J49" s="212"/>
      <c r="K49" s="212"/>
      <c r="L49" s="212"/>
      <c r="M49" s="212"/>
      <c r="N49" s="212"/>
    </row>
    <row r="50" spans="1:14" s="237" customFormat="1" ht="36" customHeight="1" x14ac:dyDescent="0.2">
      <c r="A50" s="232">
        <v>38</v>
      </c>
      <c r="B50" s="238">
        <f>'Kertas Kerja'!A410</f>
        <v>35</v>
      </c>
      <c r="C50" s="211" t="s">
        <v>669</v>
      </c>
      <c r="D50" s="241" t="str">
        <f>'Kertas Kerja'!H410</f>
        <v>Realisasi investasi dalam kurun waktu tiga tahun terkahir sebagaimana yang tertulis pada tabel 4 untuk SDM  sebesar 375.000.000, untuk sarana-50.000.000, dan untuk prasarana 100.000.000. Presentase realisasi dana ini kurang memenuhi standar Tridharma.</v>
      </c>
      <c r="E50" s="240">
        <f>'Kertas Kerja'!E417</f>
        <v>2</v>
      </c>
      <c r="F50" s="235"/>
      <c r="G50" s="236">
        <v>0.38333333333332997</v>
      </c>
      <c r="H50" s="236">
        <f t="shared" si="1"/>
        <v>0.76666666666665995</v>
      </c>
      <c r="I50" s="212"/>
      <c r="J50" s="212"/>
      <c r="K50" s="212"/>
      <c r="L50" s="212"/>
      <c r="M50" s="212"/>
      <c r="N50" s="212"/>
    </row>
    <row r="51" spans="1:14" s="237" customFormat="1" ht="24" customHeight="1" x14ac:dyDescent="0.2">
      <c r="A51" s="232">
        <v>39</v>
      </c>
      <c r="B51" s="238">
        <f>'Kertas Kerja'!A419</f>
        <v>36</v>
      </c>
      <c r="C51" s="211" t="s">
        <v>306</v>
      </c>
      <c r="D51" s="241" t="str">
        <f>'Kertas Kerja'!H419</f>
        <v>Berdasarkan data keuangan dapat dikemukakan,  bahwa Realisasi investasi dalam kurun waktu tiga tahun terkahir sebagaimana yang tertulis pada tabel 4 untuk SDM  sebesar   Rp. 375.000.000, untuk sarana-50.000.000, dan untuk prasarana 100.000.000. Presentase realisasi dana ini kurang kurang dapat menjamin keberlangsungan operasional tridharma PT.</v>
      </c>
      <c r="E51" s="240">
        <f>'Kertas Kerja'!E425</f>
        <v>2</v>
      </c>
      <c r="F51" s="235"/>
      <c r="G51" s="236">
        <v>0.76666666666667005</v>
      </c>
      <c r="H51" s="236">
        <f t="shared" si="1"/>
        <v>1.5333333333333401</v>
      </c>
      <c r="I51" s="212"/>
      <c r="J51" s="212"/>
      <c r="K51" s="212"/>
      <c r="L51" s="212"/>
      <c r="M51" s="212"/>
      <c r="N51" s="212"/>
    </row>
    <row r="52" spans="1:14" s="237" customFormat="1" ht="60" customHeight="1" x14ac:dyDescent="0.2">
      <c r="A52" s="232">
        <v>40</v>
      </c>
      <c r="B52" s="238">
        <f>'Kertas Kerja'!A427</f>
        <v>37</v>
      </c>
      <c r="C52" s="211" t="s">
        <v>670</v>
      </c>
      <c r="D52" s="241" t="str">
        <f>'Kertas Kerja'!H427</f>
        <v>UPPS menyediakan sarana-prasarana misalnya ruang kelas, kantor, ruang LPM, asrama mahasiswa, perpustakaan, masjid, dan lainnya. U Akan tetapi, perihal yang terkait dengan kecukupan dan Aksesibilitas Sarana Teknologi Informasi dan Komunikasi tidak jelas. Hanya disebutkan internet kampus, proyektor, komputer. Tidak dikemukakan laman yang terkait dengan SIAKAD, SIMPEGA, dan lainya. Dengan demikian, ketersediaan sarana-prasarana serta aksesibilitas katagori cukup. PPS tidak memiliki Laboratorium, khususnya Lab. bahasa.</v>
      </c>
      <c r="E52" s="240">
        <f>'Kertas Kerja'!E433</f>
        <v>2</v>
      </c>
      <c r="F52" s="235"/>
      <c r="G52" s="236">
        <v>3.0666666666667002</v>
      </c>
      <c r="H52" s="236">
        <f t="shared" si="1"/>
        <v>6.1333333333334004</v>
      </c>
      <c r="I52" s="212"/>
      <c r="J52" s="212"/>
      <c r="K52" s="212"/>
      <c r="L52" s="212"/>
      <c r="M52" s="212"/>
      <c r="N52" s="212"/>
    </row>
    <row r="53" spans="1:14" s="237" customFormat="1" ht="132" customHeight="1" x14ac:dyDescent="0.2">
      <c r="A53" s="232">
        <v>41</v>
      </c>
      <c r="B53" s="238">
        <f>'Kertas Kerja'!A435</f>
        <v>38</v>
      </c>
      <c r="C53" s="211" t="s">
        <v>671</v>
      </c>
      <c r="D53" s="241" t="str">
        <f>'Kertas Kerja'!H435</f>
        <v>A. Diinformasikan, bahwa  pemutakhiran kurikulum melibatkan pemangku kepentingan dan dosen. Akan tetapi, tidak dijelaskan  secara spesifik siapa saja dari pemangku kepentingan internal dan eksternal  yang terlibat. B. Tidak ada informasi atau link untuk mengakses capaian pembelajaran yang diturunkan dari profil lulusan. C. Karena tidak ada informasi tentang profil lulusan dan capaian pembelajaran baik pada tataran sikap, pengetahuan (umum dan khusus), dan keterampilan (umum dan khusus), maka sulit untuk ditentukan ketepatan struktur kurikulum.</v>
      </c>
      <c r="E53" s="240">
        <f>'Kertas Kerja'!E453</f>
        <v>0.8</v>
      </c>
      <c r="F53" s="235"/>
      <c r="G53" s="236">
        <v>2.5090909090908999</v>
      </c>
      <c r="H53" s="236">
        <f t="shared" si="1"/>
        <v>2.0072727272727202</v>
      </c>
      <c r="I53" s="212" t="s">
        <v>656</v>
      </c>
      <c r="J53" s="212" t="str">
        <f>IF(E53&gt;=2,"TERPENUHI","TIDAK TERPENUHI")</f>
        <v>TIDAK TERPENUHI</v>
      </c>
      <c r="K53" s="212"/>
      <c r="L53" s="212"/>
      <c r="M53" s="212"/>
      <c r="N53" s="212"/>
    </row>
    <row r="54" spans="1:14" s="237" customFormat="1" ht="96" customHeight="1" x14ac:dyDescent="0.2">
      <c r="A54" s="232">
        <v>42</v>
      </c>
      <c r="B54" s="238">
        <f>'Kertas Kerja'!A455</f>
        <v>39</v>
      </c>
      <c r="C54" s="211" t="s">
        <v>672</v>
      </c>
      <c r="D54" s="241" t="str">
        <f>'Kertas Kerja'!H455</f>
        <v>Tidak ada  penjelasan secara spesifik dan eksplisit yang terkait dengan karakteristik proses pembelajaran yang terdiri dari interaktif, holistik, integratif, sanitifik, tematik, efektif, kolaboratif, dan berpusat pada mahasiswa. Hanya dikemukakan, bahwa pembelajaran terdiri dari interaktif, holistik, integratif, sanitifik, tmeatik, efektif, kolaboratif, dan berpusat pada mahasiswa</v>
      </c>
      <c r="E54" s="240">
        <f>'Kertas Kerja'!E461</f>
        <v>1</v>
      </c>
      <c r="F54" s="235"/>
      <c r="G54" s="236">
        <v>0.83636363636363997</v>
      </c>
      <c r="H54" s="236">
        <f t="shared" si="1"/>
        <v>0.83636363636363997</v>
      </c>
      <c r="I54" s="212"/>
      <c r="J54" s="212"/>
      <c r="K54" s="212"/>
      <c r="L54" s="212"/>
      <c r="M54" s="212"/>
      <c r="N54" s="212"/>
    </row>
    <row r="55" spans="1:14" s="237" customFormat="1" ht="72" customHeight="1" x14ac:dyDescent="0.2">
      <c r="A55" s="232">
        <v>43</v>
      </c>
      <c r="B55" s="238">
        <f>'Kertas Kerja'!A463</f>
        <v>40</v>
      </c>
      <c r="C55" s="211" t="s">
        <v>673</v>
      </c>
      <c r="D55" s="241" t="str">
        <f>'Kertas Kerja'!H463</f>
        <v>A. Tidak ada informasi atau link yang dapat diakses untuk menelaah dokumen rencana pembelajaran semester (RPS). B. Tidak ada informasi atau link yang dapat diakses untuk menelaah dokumen rencana pembelajaran semester (RPS) sehingga tidak dapat diketahui kedalaman dan keluasan RPS.</v>
      </c>
      <c r="E55" s="240">
        <f>'Kertas Kerja'!E475</f>
        <v>0</v>
      </c>
      <c r="F55" s="235"/>
      <c r="G55" s="236">
        <v>1.6727272727272999</v>
      </c>
      <c r="H55" s="236">
        <f t="shared" si="1"/>
        <v>0</v>
      </c>
      <c r="I55" s="212"/>
      <c r="J55" s="212"/>
      <c r="K55" s="212"/>
      <c r="L55" s="212"/>
      <c r="M55" s="212"/>
      <c r="N55" s="212"/>
    </row>
    <row r="56" spans="1:14" s="237" customFormat="1" ht="409.6" customHeight="1" x14ac:dyDescent="0.2">
      <c r="A56" s="232">
        <v>44</v>
      </c>
      <c r="B56" s="238">
        <f>'Kertas Kerja'!A477</f>
        <v>41</v>
      </c>
      <c r="C56" s="211" t="s">
        <v>674</v>
      </c>
      <c r="D56" s="241" t="str">
        <f>'Kertas Kerja'!H477</f>
        <v>A. Tidak ada informasi yang terkait dengan bentuk interaksi antara dosen, mahasiswa, dan sumber belajar. B. Yang terinformasikan bahwa monev terhadap proses pembelajaran ditunjukkan dengan buku agenda dosen dan absen tatap muka dosen-mahasiswa yang tidak ditunjang dengan bukti yang sahih. C. Tidak ada penjelasan tentang  proses pembelajaran yang terkait dengan penelitian harus mengacu  pada SN Dikti. D.Tidak ada penjelasan tentang  proses pembelajaran yang terkait dengan PkM harus mengacu  pada SN Dikti. E. Tidak ada penjelasan tentang  kesesuaian metode dengan capaian pembelajaran (tidak ada penjelasan bahwa metode pembelajaran sesuai dengan CP).</v>
      </c>
      <c r="E56" s="240">
        <f>'Kertas Kerja'!E507</f>
        <v>0.88888888888888884</v>
      </c>
      <c r="F56" s="235"/>
      <c r="G56" s="236">
        <v>1.1151515151514999</v>
      </c>
      <c r="H56" s="236">
        <f t="shared" si="1"/>
        <v>0.99124579124577761</v>
      </c>
      <c r="I56" s="212"/>
      <c r="J56" s="212"/>
      <c r="K56" s="212"/>
      <c r="L56" s="212"/>
      <c r="M56" s="212"/>
      <c r="N56" s="212"/>
    </row>
    <row r="57" spans="1:14" s="237" customFormat="1" ht="48" customHeight="1" x14ac:dyDescent="0.2">
      <c r="A57" s="232">
        <v>45</v>
      </c>
      <c r="B57" s="238">
        <f>'Kertas Kerja'!A509</f>
        <v>42</v>
      </c>
      <c r="C57" s="211" t="s">
        <v>384</v>
      </c>
      <c r="D57" s="241" t="str">
        <f>'Kertas Kerja'!H509</f>
        <v>Ada 45% jam pembelajaran dalam bentuk praktikum.</v>
      </c>
      <c r="E57" s="240">
        <f>'Kertas Kerja'!E514</f>
        <v>4</v>
      </c>
      <c r="F57" s="235"/>
      <c r="G57" s="236">
        <v>0.55757575757575994</v>
      </c>
      <c r="H57" s="236">
        <f t="shared" si="1"/>
        <v>2.2303030303030398</v>
      </c>
      <c r="I57" s="212"/>
      <c r="J57" s="212"/>
      <c r="K57" s="212"/>
      <c r="L57" s="212"/>
      <c r="M57" s="212"/>
      <c r="N57" s="212"/>
    </row>
    <row r="58" spans="1:14" s="237" customFormat="1" ht="96" customHeight="1" x14ac:dyDescent="0.2">
      <c r="A58" s="232">
        <v>46</v>
      </c>
      <c r="B58" s="238">
        <f>'Kertas Kerja'!A516</f>
        <v>43</v>
      </c>
      <c r="C58" s="211" t="s">
        <v>675</v>
      </c>
      <c r="D58" s="241" t="str">
        <f>'Kertas Kerja'!H516</f>
        <v>Informasi yang terkait dengan monev pelaksanaan pembelajaran normatif. Tidak terinformasikan karakteristik perencanaan, pelaksanaan, proses dan beban belajar mahasiswa.</v>
      </c>
      <c r="E58" s="242">
        <f>'Kertas Kerja'!E522</f>
        <v>0</v>
      </c>
      <c r="G58" s="236">
        <v>2.5090909090908999</v>
      </c>
      <c r="H58" s="236">
        <f t="shared" si="1"/>
        <v>0</v>
      </c>
      <c r="I58" s="212"/>
      <c r="J58" s="212"/>
      <c r="K58" s="212"/>
      <c r="L58" s="212"/>
      <c r="M58" s="212"/>
      <c r="N58" s="212"/>
    </row>
    <row r="59" spans="1:14" s="237" customFormat="1" ht="409.6" customHeight="1" x14ac:dyDescent="0.2">
      <c r="A59" s="232">
        <v>47</v>
      </c>
      <c r="B59" s="238">
        <f>'Kertas Kerja'!A524</f>
        <v>44</v>
      </c>
      <c r="C59" s="211" t="s">
        <v>676</v>
      </c>
      <c r="D59" s="241" t="str">
        <f>'Kertas Kerja'!H524</f>
        <v>A. Informasi yang terkait dengan mutu pelaksanaan penilaian pembelajaran terbatas pada ujian tengah, akhir semester, dan tugas mandiri. B. Tidak ada informasi tentang pelaksanaan penilaian yang terdiri atas teknik dan instrumen penilaian. C. Tidak ada informasi yang terkait dengan pelaksanaan penilaian yang memuat, misalnya mempunyai kontrak perkuliahan, penilaian sesuai kontrak perkuliahan. dst.</v>
      </c>
      <c r="E59" s="243">
        <f>'Kertas Kerja'!E554</f>
        <v>0.4</v>
      </c>
      <c r="G59" s="236">
        <v>1.6727272727272999</v>
      </c>
      <c r="H59" s="236">
        <f t="shared" si="1"/>
        <v>0.66909090909092006</v>
      </c>
      <c r="I59" s="212"/>
      <c r="J59" s="212"/>
      <c r="K59" s="212"/>
      <c r="L59" s="212"/>
      <c r="M59" s="212"/>
      <c r="N59" s="212"/>
    </row>
    <row r="60" spans="1:14" s="237" customFormat="1" ht="72" customHeight="1" x14ac:dyDescent="0.2">
      <c r="A60" s="232">
        <v>48</v>
      </c>
      <c r="B60" s="238">
        <f>'Kertas Kerja'!A556</f>
        <v>45</v>
      </c>
      <c r="C60" s="211" t="s">
        <v>677</v>
      </c>
      <c r="D60" s="241" t="str">
        <f>'Kertas Kerja'!H556</f>
        <v xml:space="preserve">Ada lima matakuliah yang dikembangkan berdasarkan hasil penelitian dan PkM.  CATATAN: Yang perlu diklarifikasi  bahwa antara judul penelitian dengan matakuliah yang dikembangkan ada yang  kurang sinkron, misalnya judul penelitian "Paradigma Pembelajaran Bahasa Arab" yang dikembangkan sebagai baham ajar Matakuliah Metodologi Penelitian. </v>
      </c>
      <c r="E60" s="242">
        <f>'Kertas Kerja'!E562</f>
        <v>4</v>
      </c>
      <c r="G60" s="236">
        <v>1.6727272727272999</v>
      </c>
      <c r="H60" s="236">
        <f t="shared" si="1"/>
        <v>6.6909090909091997</v>
      </c>
      <c r="I60" s="212"/>
      <c r="J60" s="212"/>
      <c r="K60" s="212"/>
      <c r="L60" s="212"/>
      <c r="M60" s="212"/>
      <c r="N60" s="212"/>
    </row>
    <row r="61" spans="1:14" s="237" customFormat="1" ht="96" customHeight="1" x14ac:dyDescent="0.2">
      <c r="A61" s="232">
        <v>49</v>
      </c>
      <c r="B61" s="238">
        <f>'Kertas Kerja'!A564</f>
        <v>46</v>
      </c>
      <c r="C61" s="211" t="s">
        <v>678</v>
      </c>
      <c r="D61" s="244" t="str">
        <f>'Kertas Kerja'!H564</f>
        <v>Kegiatan ilmiah yang dikemukakan misalnya seminar, bedah buku, lokakarya metodologi penelitian, menghadirkan dosen tamu. Akan tetapi tidak trinformasikan waktu kegiatan dan penyelenggaranya, serta tidak dijelaskan keberkalaannya.</v>
      </c>
      <c r="E61" s="242">
        <f>'Kertas Kerja'!E570</f>
        <v>1</v>
      </c>
      <c r="G61" s="236">
        <v>2.5090909090908999</v>
      </c>
      <c r="H61" s="236">
        <f t="shared" si="1"/>
        <v>2.5090909090908999</v>
      </c>
      <c r="I61" s="212"/>
      <c r="J61" s="212"/>
      <c r="K61" s="212"/>
      <c r="L61" s="212"/>
      <c r="M61" s="212"/>
      <c r="N61" s="212"/>
    </row>
    <row r="62" spans="1:14" s="237" customFormat="1" ht="72" customHeight="1" x14ac:dyDescent="0.2">
      <c r="A62" s="232">
        <v>50</v>
      </c>
      <c r="B62" s="238">
        <f>'Kertas Kerja'!A572</f>
        <v>47</v>
      </c>
      <c r="C62" s="211" t="s">
        <v>679</v>
      </c>
      <c r="D62" s="245" t="str">
        <f>'Kertas Kerja'!H572</f>
        <v>A. Rerata tingkat kepuasan mahasiswa terhadap proses pendidikan sangat baik. B. Informasai  yanag terkait dengan analisis dam tindak lanjut dari hasil pengukuran kepuasan mahasiswa normatif baik dari proses analisisnya (misalnya analisis dilakukan dengan metode statistik) dan tindak lanjutnya (misalnya hanya dikemukakan, bahwa  hasil analisis dijadikan dasar UPPS melakukan perbaikan terhadap kurikulum).</v>
      </c>
      <c r="E62" s="242">
        <f>'Kertas Kerja'!E609</f>
        <v>2</v>
      </c>
      <c r="G62" s="236">
        <v>3.3454545454544999</v>
      </c>
      <c r="H62" s="236">
        <f t="shared" si="1"/>
        <v>6.6909090909089999</v>
      </c>
      <c r="I62" s="212"/>
      <c r="J62" s="212"/>
      <c r="K62" s="212"/>
      <c r="L62" s="212"/>
      <c r="M62" s="212"/>
      <c r="N62" s="212"/>
    </row>
    <row r="63" spans="1:14" s="237" customFormat="1" ht="192" customHeight="1" x14ac:dyDescent="0.2">
      <c r="A63" s="232">
        <v>51</v>
      </c>
      <c r="B63" s="238">
        <f>'Kertas Kerja'!A611</f>
        <v>48</v>
      </c>
      <c r="C63" s="211" t="s">
        <v>680</v>
      </c>
      <c r="D63" s="244" t="str">
        <f>'Kertas Kerja'!H611</f>
        <v>Tidak tergambar  (a) peta jalan penelitian (yang dikemukakan bahwa PT menetapkan penelitian dosen muda mengikuti roadmap, tidak ada roadmapnya), (b) agenda penelitian dosen , (c) evaluasi kesesuaian penelitian dengan peta jalan (yang terinformasikan penelitian akan ditolak jika tidak sesuai dengan peta jalan, sementara peta jalan tidak ada. (d) luaran penelitian untuk perbaikan kualitas penelitian pada PS PBA, bukan UPPS).</v>
      </c>
      <c r="E63" s="242">
        <f>'Kertas Kerja'!E617</f>
        <v>0</v>
      </c>
      <c r="G63" s="236">
        <v>1.5333333333332999</v>
      </c>
      <c r="H63" s="236">
        <f t="shared" si="1"/>
        <v>0</v>
      </c>
      <c r="I63" s="212"/>
      <c r="J63" s="212"/>
      <c r="K63" s="212"/>
      <c r="L63" s="212"/>
      <c r="M63" s="212"/>
      <c r="N63" s="212"/>
    </row>
    <row r="64" spans="1:14" s="237" customFormat="1" ht="60" customHeight="1" x14ac:dyDescent="0.2">
      <c r="A64" s="232">
        <v>52</v>
      </c>
      <c r="B64" s="238">
        <f>'Kertas Kerja'!A619</f>
        <v>49</v>
      </c>
      <c r="C64" s="211" t="s">
        <v>681</v>
      </c>
      <c r="D64" s="244" t="str">
        <f>'Kertas Kerja'!H619</f>
        <v xml:space="preserve">Ada 6 judul penelitian DTPS PBA yang penelitiaanya melibatkan mahasiswa. </v>
      </c>
      <c r="E64" s="242">
        <f>'Kertas Kerja'!E624</f>
        <v>4</v>
      </c>
      <c r="G64" s="236">
        <v>3.0666666666667002</v>
      </c>
      <c r="H64" s="236">
        <f t="shared" si="1"/>
        <v>12.266666666666801</v>
      </c>
      <c r="I64" s="212"/>
      <c r="J64" s="212"/>
      <c r="K64" s="212"/>
      <c r="L64" s="212"/>
      <c r="M64" s="212"/>
      <c r="N64" s="212"/>
    </row>
    <row r="65" spans="1:14" s="237" customFormat="1" ht="12" hidden="1" customHeight="1" x14ac:dyDescent="0.2">
      <c r="A65" s="232">
        <v>53</v>
      </c>
      <c r="B65" s="238">
        <f>'Kertas Kerja'!A626</f>
        <v>0</v>
      </c>
      <c r="C65" s="214"/>
      <c r="D65" s="244">
        <f>'Kertas Kerja'!H626</f>
        <v>0</v>
      </c>
      <c r="E65" s="242">
        <f>'Kertas Kerja'!E631</f>
        <v>0</v>
      </c>
      <c r="G65" s="236"/>
      <c r="H65" s="236">
        <f t="shared" si="1"/>
        <v>0</v>
      </c>
      <c r="I65" s="212"/>
      <c r="J65" s="212"/>
      <c r="K65" s="212"/>
      <c r="L65" s="212"/>
      <c r="M65" s="212"/>
      <c r="N65" s="212"/>
    </row>
    <row r="66" spans="1:14" s="237" customFormat="1" ht="192" customHeight="1" x14ac:dyDescent="0.2">
      <c r="A66" s="232">
        <v>54</v>
      </c>
      <c r="B66" s="238">
        <f>'Kertas Kerja'!A633</f>
        <v>50</v>
      </c>
      <c r="C66" s="211" t="s">
        <v>682</v>
      </c>
      <c r="D66" s="244" t="str">
        <f>'Kertas Kerja'!H633</f>
        <v>Tidak tergambar   peta jalan PkM (yang dikemukakan bahwa PT menetapkan setiap dosen memilikii roadmap PkM, tetapi tidak ada roadmapnya, yang tergambar pada tabel 7 lebih pada judul PkM bukan peta jalan PkM. Dosen dan mahasiswa melakukan PkM sesuai roadmap, tetapi tidak ada wujud roadmapnya, Evaluasi kesesuaian PkM dengan roadmap dilakukan oleh LPM tetapi, keberadaan roadmap PkM tidak ada,  sehingga tidak dapat diketahui kesesuaiannya. Hasil evaluasi digunakan untuk perbaikan relevansi PkM dan pengembangan keilmuan PS. Hasil PkM dosen mahasiwa disampaikan pada pimpinan STAI sebelum dipublikasikan.</v>
      </c>
      <c r="E66" s="242">
        <f>'Kertas Kerja'!E639</f>
        <v>1</v>
      </c>
      <c r="G66" s="236">
        <v>0.51111111111110996</v>
      </c>
      <c r="H66" s="236">
        <f t="shared" si="1"/>
        <v>0.51111111111110996</v>
      </c>
      <c r="I66" s="212"/>
      <c r="J66" s="212"/>
      <c r="K66" s="212"/>
      <c r="L66" s="212"/>
      <c r="M66" s="212"/>
      <c r="N66" s="212"/>
    </row>
    <row r="67" spans="1:14" s="237" customFormat="1" ht="60" customHeight="1" x14ac:dyDescent="0.2">
      <c r="A67" s="232">
        <v>55</v>
      </c>
      <c r="B67" s="238">
        <f>'Kertas Kerja'!A641</f>
        <v>51</v>
      </c>
      <c r="C67" s="211" t="s">
        <v>683</v>
      </c>
      <c r="D67" s="244" t="str">
        <f>'Kertas Kerja'!H641</f>
        <v>Ada 9 jumlah judul PkM DTPS yang melibatkan mahasiswa.</v>
      </c>
      <c r="E67" s="242">
        <f>'Kertas Kerja'!E646</f>
        <v>4</v>
      </c>
      <c r="G67" s="236">
        <v>1.0222222222221999</v>
      </c>
      <c r="H67" s="236">
        <f t="shared" si="1"/>
        <v>4.0888888888887998</v>
      </c>
      <c r="I67" s="212"/>
      <c r="J67" s="212"/>
      <c r="K67" s="212"/>
      <c r="L67" s="212"/>
      <c r="M67" s="212"/>
      <c r="N67" s="212"/>
    </row>
    <row r="68" spans="1:14" s="237" customFormat="1" ht="132" customHeight="1" x14ac:dyDescent="0.2">
      <c r="A68" s="232">
        <v>56</v>
      </c>
      <c r="B68" s="238">
        <f>'Kertas Kerja'!A648</f>
        <v>52</v>
      </c>
      <c r="C68" s="211" t="s">
        <v>684</v>
      </c>
      <c r="D68" s="244" t="str">
        <f>'Kertas Kerja'!H648</f>
        <v>Analisis pemenuhan CPL   meliputi prestasi akademik dan non akademik (misalnya IPK, masa studi atau kelulusan tepat waktu) dan non-akademik (prestasi di bidang kejuaraan). Prestasi akademik dan non-akademik tidak hanya dikemukakan fakta materialnya, tetapi juga dianalisis kelemahan dan penyebabnya. Misalnya prestasi non-akademik dalam kanca nasional masih rendah dan belum mencapai tingkat internasional. Perihal yang terkait dengan luaran dharma Penelitian lebih bersifat deskripsi  kuantitatif saja tanpa dianalisis lebih mendalam.</v>
      </c>
      <c r="E68" s="242">
        <f>'Kertas Kerja'!E654</f>
        <v>3</v>
      </c>
      <c r="G68" s="236">
        <v>1.9166666666667</v>
      </c>
      <c r="H68" s="236">
        <f t="shared" si="1"/>
        <v>5.7500000000001004</v>
      </c>
      <c r="I68" s="212"/>
      <c r="J68" s="212"/>
      <c r="K68" s="212"/>
      <c r="L68" s="212"/>
      <c r="M68" s="212"/>
      <c r="N68" s="212"/>
    </row>
    <row r="69" spans="1:14" s="237" customFormat="1" ht="24" customHeight="1" x14ac:dyDescent="0.2">
      <c r="A69" s="232">
        <v>57</v>
      </c>
      <c r="B69" s="238">
        <f>'Kertas Kerja'!A656</f>
        <v>53</v>
      </c>
      <c r="C69" s="211" t="s">
        <v>476</v>
      </c>
      <c r="D69" s="244" t="str">
        <f>'Kertas Kerja'!H656</f>
        <v>Rerata IPK 3,52 dan katagori ideal</v>
      </c>
      <c r="E69" s="242">
        <f>'Kertas Kerja'!E666</f>
        <v>4</v>
      </c>
      <c r="G69" s="236">
        <v>1.9166666666667</v>
      </c>
      <c r="H69" s="236">
        <f t="shared" si="1"/>
        <v>7.6666666666668002</v>
      </c>
      <c r="I69" s="212"/>
      <c r="J69" s="212"/>
      <c r="K69" s="212"/>
      <c r="L69" s="212"/>
      <c r="M69" s="212"/>
      <c r="N69" s="212"/>
    </row>
    <row r="70" spans="1:14" s="237" customFormat="1" ht="36" customHeight="1" x14ac:dyDescent="0.2">
      <c r="A70" s="232">
        <v>58</v>
      </c>
      <c r="B70" s="238">
        <f>'Kertas Kerja'!A668</f>
        <v>54</v>
      </c>
      <c r="C70" s="211" t="s">
        <v>484</v>
      </c>
      <c r="D70" s="244" t="str">
        <f>'Kertas Kerja'!H668</f>
        <v>Ada lima prestasi akademik tingkat wilayah atau lokal dari jumlah mahasiswa pada TS 11 (Perlu diklarifikasi jumlah mahasiswa pada saat TS yakni 11 mahasiswa).</v>
      </c>
      <c r="E70" s="242">
        <f>'Kertas Kerja'!E684</f>
        <v>2</v>
      </c>
      <c r="G70" s="236">
        <v>2.875</v>
      </c>
      <c r="H70" s="236">
        <f t="shared" si="1"/>
        <v>5.75</v>
      </c>
      <c r="I70" s="212"/>
      <c r="J70" s="212"/>
      <c r="K70" s="212"/>
      <c r="L70" s="212"/>
      <c r="M70" s="212"/>
      <c r="N70" s="212"/>
    </row>
    <row r="71" spans="1:14" s="237" customFormat="1" ht="36" customHeight="1" x14ac:dyDescent="0.2">
      <c r="A71" s="232">
        <v>59</v>
      </c>
      <c r="B71" s="238">
        <f>'Kertas Kerja'!A686</f>
        <v>55</v>
      </c>
      <c r="C71" s="211" t="s">
        <v>493</v>
      </c>
      <c r="D71" s="244" t="str">
        <f>'Kertas Kerja'!H686</f>
        <v>Ada empat prestasi mahasiswa di bidang non akademik pada tingkat wilayah/loka dari 11 mahasiswa pada saat TS (Perlu diklarifikasi jumlah mahasiswa pada saat TS yakni 11 mahasiswa).</v>
      </c>
      <c r="E71" s="242">
        <f>'Kertas Kerja'!E702</f>
        <v>2</v>
      </c>
      <c r="G71" s="236">
        <v>0.95833333333333004</v>
      </c>
      <c r="H71" s="236">
        <f t="shared" si="1"/>
        <v>1.9166666666666601</v>
      </c>
      <c r="I71" s="212"/>
      <c r="J71" s="212"/>
      <c r="K71" s="212"/>
      <c r="L71" s="212"/>
      <c r="M71" s="212"/>
      <c r="N71" s="212"/>
    </row>
    <row r="72" spans="1:14" s="237" customFormat="1" ht="24" customHeight="1" x14ac:dyDescent="0.2">
      <c r="A72" s="232">
        <v>60</v>
      </c>
      <c r="B72" s="238">
        <f>'Kertas Kerja'!A704</f>
        <v>56</v>
      </c>
      <c r="C72" s="211" t="s">
        <v>497</v>
      </c>
      <c r="D72" s="241" t="str">
        <f>'Kertas Kerja'!H704</f>
        <v>Rerata masa studi 4 tahun</v>
      </c>
      <c r="E72" s="236">
        <f>'Kertas Kerja'!E716</f>
        <v>4</v>
      </c>
      <c r="G72" s="236">
        <v>1.9166666666667</v>
      </c>
      <c r="H72" s="236">
        <f t="shared" si="1"/>
        <v>7.6666666666668002</v>
      </c>
      <c r="I72" s="212"/>
      <c r="J72" s="212"/>
      <c r="K72" s="212"/>
      <c r="L72" s="212"/>
      <c r="M72" s="212"/>
      <c r="N72" s="212"/>
    </row>
    <row r="73" spans="1:14" s="237" customFormat="1" ht="24" customHeight="1" x14ac:dyDescent="0.2">
      <c r="A73" s="232">
        <v>61</v>
      </c>
      <c r="B73" s="238">
        <f>'Kertas Kerja'!A718</f>
        <v>57</v>
      </c>
      <c r="C73" s="211" t="s">
        <v>507</v>
      </c>
      <c r="D73" s="241" t="str">
        <f>'Kertas Kerja'!H718</f>
        <v>56, 0% mahasiswa lulus tepat waktu.</v>
      </c>
      <c r="E73" s="236">
        <f>'Kertas Kerja'!E731</f>
        <v>4</v>
      </c>
      <c r="G73" s="236">
        <v>1.9166666666667</v>
      </c>
      <c r="H73" s="236">
        <f t="shared" si="1"/>
        <v>7.6666666666668002</v>
      </c>
      <c r="I73" s="212"/>
      <c r="J73" s="212"/>
      <c r="K73" s="212"/>
      <c r="L73" s="212"/>
      <c r="M73" s="212"/>
      <c r="N73" s="212"/>
    </row>
    <row r="74" spans="1:14" s="237" customFormat="1" ht="24" customHeight="1" x14ac:dyDescent="0.2">
      <c r="A74" s="232">
        <v>62</v>
      </c>
      <c r="B74" s="238">
        <f>'Kertas Kerja'!A733</f>
        <v>58</v>
      </c>
      <c r="C74" s="211" t="s">
        <v>517</v>
      </c>
      <c r="D74" s="241" t="str">
        <f>'Kertas Kerja'!H733</f>
        <v>Data menunjukkan bahwa PPS 100%.</v>
      </c>
      <c r="E74" s="236">
        <f>'Kertas Kerja'!E743</f>
        <v>4</v>
      </c>
      <c r="G74" s="240">
        <v>1.9166666666667</v>
      </c>
      <c r="H74" s="236">
        <f t="shared" si="1"/>
        <v>7.6666666666668002</v>
      </c>
      <c r="I74" s="212"/>
      <c r="J74" s="212"/>
      <c r="K74" s="212"/>
      <c r="L74" s="212"/>
      <c r="M74" s="212"/>
      <c r="N74" s="212"/>
    </row>
    <row r="75" spans="1:14" s="237" customFormat="1" ht="144" customHeight="1" x14ac:dyDescent="0.2">
      <c r="A75" s="232">
        <v>63</v>
      </c>
      <c r="B75" s="238">
        <f>'Kertas Kerja'!A745</f>
        <v>59</v>
      </c>
      <c r="C75" s="211" t="s">
        <v>685</v>
      </c>
      <c r="D75" s="241" t="str">
        <f>'Kertas Kerja'!H745</f>
        <v>Tidak ada informasi tentang pelaksanaan tracer study</v>
      </c>
      <c r="E75" s="236">
        <f>'Kertas Kerja'!E751</f>
        <v>0</v>
      </c>
      <c r="G75" s="240">
        <v>2.875</v>
      </c>
      <c r="H75" s="236">
        <f t="shared" si="1"/>
        <v>0</v>
      </c>
      <c r="I75" s="212"/>
      <c r="J75" s="212"/>
      <c r="K75" s="212"/>
      <c r="L75" s="212"/>
      <c r="M75" s="212"/>
      <c r="N75" s="212"/>
    </row>
    <row r="76" spans="1:14" s="237" customFormat="1" ht="24" customHeight="1" x14ac:dyDescent="0.2">
      <c r="A76" s="232">
        <v>64</v>
      </c>
      <c r="B76" s="238">
        <f>'Kertas Kerja'!A753</f>
        <v>60</v>
      </c>
      <c r="C76" s="211" t="s">
        <v>686</v>
      </c>
      <c r="D76" s="241" t="str">
        <f>'Kertas Kerja'!H753</f>
        <v>Data kuantitatif menunjukkan bahwa persentasei responden lulusan 96,9%,  masa tunggu 2,1 bulan. CATATAN:  informasi kualitatif yang terkait dengan pelaksanaan tracer study tidak ada. Sementara itu, (data pada tabel 8.d.1  mengindikasikan adanya studi penelusuran lulusan)</v>
      </c>
      <c r="E76" s="236">
        <f>'Kertas Kerja'!E781</f>
        <v>4</v>
      </c>
      <c r="G76" s="240">
        <v>2.875</v>
      </c>
      <c r="H76" s="236">
        <f t="shared" si="1"/>
        <v>11.5</v>
      </c>
      <c r="I76" s="212"/>
      <c r="J76" s="212"/>
      <c r="K76" s="212" t="s">
        <v>662</v>
      </c>
      <c r="L76" s="212" t="str">
        <f>IF(E76&gt;=3.5,"TERPENUHI","TIDAK TERPENUHI")</f>
        <v>TERPENUHI</v>
      </c>
      <c r="M76" s="212" t="s">
        <v>663</v>
      </c>
      <c r="N76" s="212" t="str">
        <f>IF(E76&gt;=3,"TERPENUHI","TIDAK TERPENUHI")</f>
        <v>TERPENUHI</v>
      </c>
    </row>
    <row r="77" spans="1:14" s="237" customFormat="1" ht="24" customHeight="1" x14ac:dyDescent="0.2">
      <c r="A77" s="232">
        <v>65</v>
      </c>
      <c r="B77" s="238">
        <f>'Kertas Kerja'!A783</f>
        <v>61</v>
      </c>
      <c r="C77" s="211" t="s">
        <v>554</v>
      </c>
      <c r="D77" s="241" t="str">
        <f>'Kertas Kerja'!H783</f>
        <v>Data kuantitatif menunjukkan bahwa persentase responden lulusan 96,9%,  kesesuaian bidang pekerjaan 87,2%.  CATATAN:  informasi kualitatif yang terkait dengan pelaksanaan tracer study tidak ada. Sementara itu data pada tabel 8.d.2  mengindikasikan adanya studi penelusuran lulusan.</v>
      </c>
      <c r="E77" s="236">
        <f>'Kertas Kerja'!E809</f>
        <v>4</v>
      </c>
      <c r="G77" s="240">
        <v>1.9166666666667</v>
      </c>
      <c r="H77" s="236">
        <f t="shared" ref="H77:H87" si="2">E77*G77</f>
        <v>7.6666666666668002</v>
      </c>
      <c r="I77" s="212"/>
      <c r="J77" s="212"/>
      <c r="K77" s="212" t="s">
        <v>662</v>
      </c>
      <c r="L77" s="212" t="str">
        <f>IF(E77&gt;=3.5,"TERPENUHI","TIDAK TERPENUHI")</f>
        <v>TERPENUHI</v>
      </c>
      <c r="M77" s="212" t="s">
        <v>663</v>
      </c>
      <c r="N77" s="212" t="str">
        <f>IF(E77&gt;=3,"TERPENUHI","TIDAK TERPENUHI")</f>
        <v>TERPENUHI</v>
      </c>
    </row>
    <row r="78" spans="1:14" s="237" customFormat="1" ht="24" customHeight="1" x14ac:dyDescent="0.2">
      <c r="A78" s="232">
        <v>66</v>
      </c>
      <c r="B78" s="238">
        <f>'Kertas Kerja'!A811</f>
        <v>62</v>
      </c>
      <c r="C78" s="211" t="s">
        <v>566</v>
      </c>
      <c r="D78" s="241" t="str">
        <f>'Kertas Kerja'!H811</f>
        <v xml:space="preserve">Data kuantitatif menunjukkan bahwa persentase responden lulusan 96,9%, jumlah lulusan yang bekerja tingkat nasional berijin  1,  dan yang tidak berijin 2 orang, dan yang bekerja di tingkat wilayah tidak berijin 18.  CATATAN:  informasi kualitatif yang terkait dengan pelaksanaan tracer study tidak ada, sementara itu, data pada tabel 8.e.1  mengindikasikan adanya studi penelusuran lulusan. </v>
      </c>
      <c r="E78" s="236">
        <f>'Kertas Kerja'!E843</f>
        <v>2.1595744680851063</v>
      </c>
      <c r="G78" s="236">
        <v>1.9166666666667</v>
      </c>
      <c r="H78" s="236">
        <f t="shared" si="2"/>
        <v>4.1391843971631923</v>
      </c>
      <c r="I78" s="212"/>
      <c r="J78" s="212"/>
      <c r="K78" s="212"/>
      <c r="L78" s="212"/>
      <c r="M78" s="212"/>
      <c r="N78" s="212"/>
    </row>
    <row r="79" spans="1:14" s="237" customFormat="1" ht="24" customHeight="1" x14ac:dyDescent="0.2">
      <c r="A79" s="232">
        <v>67</v>
      </c>
      <c r="B79" s="238">
        <f>'Kertas Kerja'!A845</f>
        <v>63</v>
      </c>
      <c r="C79" s="211" t="s">
        <v>581</v>
      </c>
      <c r="D79" s="241" t="str">
        <f>'Kertas Kerja'!H845</f>
        <v xml:space="preserve">Jumlah persentase responden pengguna lulusan 251% (TS-4 = 80 orang, TS-3 = 80 orang, dan TS-2 = 86 orang). Rerata penilaian katagori sangat baik. CATATAN: Perlu diklarfikasi laporan hasil pelacakan saat AL mengingat informasi kualitatif tentang tracer study tidak dijelaskan). </v>
      </c>
      <c r="E79" s="236">
        <f>'Kertas Kerja'!E892</f>
        <v>3.8314285714285718</v>
      </c>
      <c r="G79" s="236">
        <v>3.8333333333333002</v>
      </c>
      <c r="H79" s="236">
        <f t="shared" si="2"/>
        <v>14.687142857142732</v>
      </c>
      <c r="I79" s="212"/>
      <c r="J79" s="212"/>
      <c r="K79" s="212"/>
      <c r="L79" s="212"/>
      <c r="M79" s="212"/>
      <c r="N79" s="212"/>
    </row>
    <row r="80" spans="1:14" s="237" customFormat="1" ht="96" customHeight="1" x14ac:dyDescent="0.2">
      <c r="A80" s="232">
        <v>68</v>
      </c>
      <c r="B80" s="238">
        <f>'Kertas Kerja'!A894</f>
        <v>64</v>
      </c>
      <c r="C80" s="211" t="s">
        <v>687</v>
      </c>
      <c r="D80" s="241" t="str">
        <f>'Kertas Kerja'!H894</f>
        <v>Ada 8 karya ilmiah mahasiswa yang dipublikasikan di jurnal nasional tidak terakreditasi, 5 karya ilmiah dipublikasikan di seminar wilayah/lokal/PT. CATATAN: tidak ada link untuk mengakses publikasi ilmiahnya. Oleh karena itu, perlu klarifikasi saat AL.</v>
      </c>
      <c r="E80" s="236">
        <f>'Kertas Kerja'!E917</f>
        <v>2</v>
      </c>
      <c r="G80" s="236">
        <v>2.875</v>
      </c>
      <c r="H80" s="236">
        <f t="shared" si="2"/>
        <v>5.75</v>
      </c>
      <c r="I80" s="212"/>
      <c r="J80" s="212"/>
      <c r="K80" s="212"/>
      <c r="L80" s="212"/>
      <c r="M80" s="212"/>
      <c r="N80" s="212"/>
    </row>
    <row r="81" spans="1:14" s="237" customFormat="1" ht="12" hidden="1" customHeight="1" x14ac:dyDescent="0.2">
      <c r="A81" s="232">
        <v>69</v>
      </c>
      <c r="B81" s="238">
        <f>'Kertas Kerja'!A919</f>
        <v>0</v>
      </c>
      <c r="C81" s="214"/>
      <c r="D81" s="241">
        <f>'Kertas Kerja'!H919</f>
        <v>0</v>
      </c>
      <c r="E81" s="236">
        <f>'Kertas Kerja'!E922</f>
        <v>0</v>
      </c>
      <c r="G81" s="236"/>
      <c r="H81" s="236">
        <f t="shared" si="2"/>
        <v>0</v>
      </c>
      <c r="I81" s="212"/>
      <c r="J81" s="212"/>
      <c r="K81" s="212"/>
      <c r="L81" s="212"/>
      <c r="M81" s="212"/>
      <c r="N81" s="212"/>
    </row>
    <row r="82" spans="1:14" s="237" customFormat="1" ht="12" hidden="1" customHeight="1" x14ac:dyDescent="0.2">
      <c r="A82" s="232">
        <v>70</v>
      </c>
      <c r="B82" s="238">
        <f>'Kertas Kerja'!A924</f>
        <v>0</v>
      </c>
      <c r="C82" s="214"/>
      <c r="D82" s="241">
        <f>'Kertas Kerja'!H924</f>
        <v>0</v>
      </c>
      <c r="E82" s="236">
        <f>'Kertas Kerja'!E927</f>
        <v>0</v>
      </c>
      <c r="G82" s="236"/>
      <c r="H82" s="236">
        <f t="shared" si="2"/>
        <v>0</v>
      </c>
      <c r="I82" s="212"/>
      <c r="J82" s="212"/>
      <c r="K82" s="212"/>
      <c r="L82" s="212"/>
      <c r="M82" s="212"/>
      <c r="N82" s="212"/>
    </row>
    <row r="83" spans="1:14" s="237" customFormat="1" ht="60" customHeight="1" x14ac:dyDescent="0.2">
      <c r="A83" s="232">
        <v>71</v>
      </c>
      <c r="B83" s="238">
        <f>'Kertas Kerja'!A929</f>
        <v>65</v>
      </c>
      <c r="C83" s="211" t="s">
        <v>599</v>
      </c>
      <c r="D83" s="241" t="str">
        <f>'Kertas Kerja'!H929</f>
        <v>Tidak ada infromasi tentang luaran penelitian dan PkM mahasiswa.</v>
      </c>
      <c r="E83" s="236">
        <f>'Kertas Kerja'!E936</f>
        <v>2</v>
      </c>
      <c r="G83" s="236">
        <v>0.95833333333333004</v>
      </c>
      <c r="H83" s="236">
        <f t="shared" si="2"/>
        <v>1.9166666666666601</v>
      </c>
      <c r="I83" s="212"/>
      <c r="J83" s="212"/>
      <c r="K83" s="212"/>
      <c r="L83" s="212"/>
      <c r="M83" s="212"/>
      <c r="N83" s="212"/>
    </row>
    <row r="84" spans="1:14" s="237" customFormat="1" ht="96" customHeight="1" x14ac:dyDescent="0.2">
      <c r="A84" s="232">
        <v>72</v>
      </c>
      <c r="B84" s="238">
        <f>'Kertas Kerja'!A938</f>
        <v>66</v>
      </c>
      <c r="C84" s="215" t="s">
        <v>688</v>
      </c>
      <c r="D84" s="241" t="str">
        <f>'Kertas Kerja'!H938</f>
        <v>Ada analisis capaian kinerja. Akan tetapi, tidak disertai dengan data sebagai dasar untuk menganalisis tingkat ketercapaiannya maupun kekurang ketercapainnya. Yang dikemukan langsung pada kekurangan yang ada.</v>
      </c>
      <c r="E84" s="236">
        <f>'Kertas Kerja'!E944</f>
        <v>1</v>
      </c>
      <c r="G84" s="236">
        <v>1.5</v>
      </c>
      <c r="H84" s="236">
        <f t="shared" si="2"/>
        <v>1.5</v>
      </c>
      <c r="I84" s="212"/>
      <c r="J84" s="212"/>
      <c r="K84" s="212"/>
      <c r="L84" s="212"/>
      <c r="M84" s="212"/>
      <c r="N84" s="212"/>
    </row>
    <row r="85" spans="1:14" s="237" customFormat="1" ht="72" customHeight="1" x14ac:dyDescent="0.2">
      <c r="A85" s="232">
        <v>73</v>
      </c>
      <c r="B85" s="238">
        <f>'Kertas Kerja'!A946</f>
        <v>67</v>
      </c>
      <c r="C85" s="215" t="s">
        <v>689</v>
      </c>
      <c r="D85" s="241" t="str">
        <f>'Kertas Kerja'!H946</f>
        <v>UPPS telah melakukan analisis SWOT setiap kreteria baik dari aspek kekuatan, kelemahan, peluang dan ancaman secara jelas dan spesifik dengan berpijak pada hasil analisis capaian kinerja. UPPS juga merumuskan strategi pengembangan. Akan tetapi,  rumusan pengembangan pada kreteria tertentu masih normatif (abstrak). Misalnya strategi pengembangan kreteria 3,  membuat program pengembangan minat dan bakat dan menyusun strategi baru untuk meningkatkan animo calon mahasiswa dengan kolaboratif antara PS PBA dengan lembaga lain. Rumusan strategi pengembangan ini masih normatif, tidak jelas model pengambangan apa dan bagaimana dan bagaimana  juga sistem peningkatan animo calon mahasiswa yang akan dikembangkan.</v>
      </c>
      <c r="E85" s="236">
        <f>'Kertas Kerja'!E952</f>
        <v>2</v>
      </c>
      <c r="G85" s="236">
        <v>2</v>
      </c>
      <c r="H85" s="236">
        <f t="shared" si="2"/>
        <v>4</v>
      </c>
      <c r="I85" s="212"/>
      <c r="J85" s="212"/>
      <c r="K85" s="212"/>
      <c r="L85" s="212"/>
      <c r="M85" s="212"/>
      <c r="N85" s="212"/>
    </row>
    <row r="86" spans="1:14" s="237" customFormat="1" ht="48" customHeight="1" x14ac:dyDescent="0.2">
      <c r="A86" s="232">
        <v>74</v>
      </c>
      <c r="B86" s="238">
        <f>'Kertas Kerja'!A954</f>
        <v>68</v>
      </c>
      <c r="C86" s="215" t="s">
        <v>690</v>
      </c>
      <c r="D86" s="241" t="str">
        <f>'Kertas Kerja'!H954</f>
        <v xml:space="preserve"> </v>
      </c>
      <c r="E86" s="236">
        <f>'Kertas Kerja'!E960</f>
        <v>2</v>
      </c>
      <c r="G86" s="236">
        <v>1.5</v>
      </c>
      <c r="H86" s="236">
        <f t="shared" si="2"/>
        <v>3</v>
      </c>
      <c r="I86" s="212"/>
      <c r="J86" s="212"/>
      <c r="K86" s="212"/>
      <c r="L86" s="212"/>
      <c r="M86" s="212"/>
      <c r="N86" s="212"/>
    </row>
    <row r="87" spans="1:14" s="237" customFormat="1" ht="72" customHeight="1" x14ac:dyDescent="0.2">
      <c r="A87" s="232">
        <v>75</v>
      </c>
      <c r="B87" s="238">
        <f>'Kertas Kerja'!A962</f>
        <v>69</v>
      </c>
      <c r="C87" s="216" t="s">
        <v>691</v>
      </c>
      <c r="D87" s="241" t="str">
        <f>'Kertas Kerja'!H962</f>
        <v>Tidak terinformasikan keberlanjutan program yang dikembangkan yang mencakup alokasa sumber daya, kemampuan melakasanakan, rencana penjaminan mutu, dan keberadaan pemangku kepentingan eksternal.</v>
      </c>
      <c r="E87" s="236">
        <f>'Kertas Kerja'!E968</f>
        <v>0</v>
      </c>
      <c r="G87" s="236">
        <v>1</v>
      </c>
      <c r="H87" s="236">
        <f t="shared" si="2"/>
        <v>0</v>
      </c>
      <c r="I87" s="212"/>
      <c r="J87" s="212"/>
      <c r="K87" s="212"/>
      <c r="L87" s="212"/>
      <c r="M87" s="212"/>
      <c r="N87" s="212"/>
    </row>
    <row r="88" spans="1:14" s="217" customFormat="1" ht="14.65" customHeight="1" x14ac:dyDescent="0.25">
      <c r="A88" s="246"/>
      <c r="B88" s="246"/>
      <c r="C88" s="220"/>
      <c r="D88" s="247"/>
      <c r="E88" s="248"/>
      <c r="I88" s="220"/>
      <c r="J88" s="220"/>
      <c r="K88" s="220"/>
    </row>
    <row r="89" spans="1:14" s="217" customFormat="1" ht="14.65" customHeight="1" x14ac:dyDescent="0.25">
      <c r="A89" s="246"/>
      <c r="B89" s="246"/>
      <c r="C89" s="220"/>
      <c r="D89" s="249" t="str">
        <f>Menu!P22&amp;", "&amp;TEXT(Menu!P24,"dd mmmm yyyy")</f>
        <v>BENGKULU, 29 Agustus 2022</v>
      </c>
      <c r="E89" s="248"/>
      <c r="I89" s="220"/>
      <c r="J89" s="220"/>
      <c r="K89" s="220"/>
    </row>
    <row r="90" spans="1:14" s="217" customFormat="1" ht="14.65" customHeight="1" x14ac:dyDescent="0.25">
      <c r="A90" s="246"/>
      <c r="B90" s="246"/>
      <c r="C90" s="220"/>
      <c r="D90" s="249"/>
      <c r="E90" s="248"/>
      <c r="I90" s="220"/>
      <c r="J90" s="220"/>
      <c r="K90" s="220"/>
    </row>
    <row r="91" spans="1:14" s="217" customFormat="1" ht="14.65" customHeight="1" x14ac:dyDescent="0.25">
      <c r="A91" s="246"/>
      <c r="B91" s="246"/>
      <c r="C91" s="220"/>
      <c r="D91" s="247"/>
      <c r="E91" s="248"/>
      <c r="I91" s="220"/>
      <c r="J91" s="220"/>
      <c r="K91" s="220"/>
    </row>
    <row r="92" spans="1:14" s="217" customFormat="1" ht="14.65" customHeight="1" x14ac:dyDescent="0.25">
      <c r="A92" s="246"/>
      <c r="B92" s="246"/>
      <c r="C92" s="220"/>
      <c r="D92" s="29"/>
      <c r="E92" s="248"/>
      <c r="I92" s="220"/>
      <c r="J92" s="220"/>
      <c r="K92" s="220"/>
    </row>
    <row r="93" spans="1:14" s="217" customFormat="1" ht="14.65" customHeight="1" x14ac:dyDescent="0.25">
      <c r="A93" s="246"/>
      <c r="B93" s="246"/>
      <c r="C93" s="220"/>
      <c r="D93" s="250" t="s">
        <v>692</v>
      </c>
      <c r="E93" s="248"/>
      <c r="I93" s="220"/>
      <c r="J93" s="220"/>
      <c r="K93" s="220"/>
    </row>
    <row r="94" spans="1:14" s="217" customFormat="1" ht="14.65" customHeight="1" x14ac:dyDescent="0.25">
      <c r="A94" s="246"/>
      <c r="B94" s="246"/>
      <c r="C94" s="220"/>
      <c r="D94" s="251"/>
      <c r="E94" s="248"/>
      <c r="I94" s="220"/>
      <c r="J94" s="220"/>
      <c r="K94" s="220"/>
    </row>
    <row r="95" spans="1:14" s="217" customFormat="1" ht="14.65" customHeight="1" x14ac:dyDescent="0.25">
      <c r="A95" s="246"/>
      <c r="B95" s="246"/>
      <c r="C95" s="220"/>
      <c r="D95" s="251"/>
      <c r="E95" s="248"/>
      <c r="I95" s="220"/>
      <c r="J95" s="220"/>
      <c r="K95" s="220"/>
    </row>
    <row r="96" spans="1:14" s="217" customFormat="1" ht="14.65" customHeight="1" x14ac:dyDescent="0.25">
      <c r="A96" s="246"/>
      <c r="B96" s="246"/>
      <c r="C96" s="220"/>
      <c r="D96" s="250" t="str">
        <f>"( "&amp;Menu!P20&amp;" )"</f>
        <v>( Dr.Kasmantoni. M.Si )</v>
      </c>
      <c r="E96" s="248"/>
      <c r="I96" s="220"/>
      <c r="J96" s="220"/>
      <c r="K96" s="220"/>
    </row>
  </sheetData>
  <sheetProtection formatCells="0" formatColumns="0" formatRows="0" insertColumns="0" insertRows="0" insertHyperlinks="0" deleteColumns="0" deleteRows="0" selectLockedCells="1" sort="0" autoFilter="0" pivotTables="0"/>
  <mergeCells count="15">
    <mergeCell ref="B5:E5"/>
    <mergeCell ref="G5:I6"/>
    <mergeCell ref="B1:E1"/>
    <mergeCell ref="G1:K1"/>
    <mergeCell ref="B2:E2"/>
    <mergeCell ref="G2:K2"/>
    <mergeCell ref="B3:E3"/>
    <mergeCell ref="G3:K3"/>
    <mergeCell ref="K5:L6"/>
    <mergeCell ref="K8:N8"/>
    <mergeCell ref="K9:N9"/>
    <mergeCell ref="K10:N10"/>
    <mergeCell ref="I12:J12"/>
    <mergeCell ref="K12:L12"/>
    <mergeCell ref="M12:N12"/>
  </mergeCells>
  <conditionalFormatting sqref="B13:B87">
    <cfRule type="cellIs" dxfId="39" priority="1" operator="equal">
      <formula>0</formula>
    </cfRule>
  </conditionalFormatting>
  <conditionalFormatting sqref="C66">
    <cfRule type="cellIs" dxfId="38" priority="2" operator="equal">
      <formula>"Tidak dinilai"</formula>
    </cfRule>
  </conditionalFormatting>
  <conditionalFormatting sqref="C24:C30">
    <cfRule type="cellIs" dxfId="37" priority="3" operator="equal">
      <formula>"Tidak dinilai"</formula>
    </cfRule>
  </conditionalFormatting>
  <conditionalFormatting sqref="C42:C43">
    <cfRule type="cellIs" dxfId="36" priority="4" operator="equal">
      <formula>"Tidak dinilai"</formula>
    </cfRule>
  </conditionalFormatting>
  <conditionalFormatting sqref="C45:C47">
    <cfRule type="cellIs" dxfId="35" priority="5" operator="equal">
      <formula>"Tidak dinilai"</formula>
    </cfRule>
  </conditionalFormatting>
  <conditionalFormatting sqref="C49:C64">
    <cfRule type="cellIs" dxfId="34" priority="6" operator="equal">
      <formula>"Tidak dinilai"</formula>
    </cfRule>
  </conditionalFormatting>
  <conditionalFormatting sqref="C81:C87">
    <cfRule type="cellIs" dxfId="33" priority="7" operator="equal">
      <formula>"Tidak dinilai"</formula>
    </cfRule>
  </conditionalFormatting>
  <conditionalFormatting sqref="C68:C71">
    <cfRule type="cellIs" dxfId="32" priority="8" operator="equal">
      <formula>"Tidak dinilai"</formula>
    </cfRule>
  </conditionalFormatting>
  <conditionalFormatting sqref="C73:C79">
    <cfRule type="cellIs" dxfId="31" priority="9" operator="equal">
      <formula>"Tidak dinilai"</formula>
    </cfRule>
  </conditionalFormatting>
  <conditionalFormatting sqref="C32:C39">
    <cfRule type="cellIs" dxfId="30" priority="10" operator="equal">
      <formula>"Tidak dinilai"</formula>
    </cfRule>
  </conditionalFormatting>
  <conditionalFormatting sqref="C13:C21">
    <cfRule type="cellIs" dxfId="29" priority="11" operator="equal">
      <formula>"Tidak dinilai"</formula>
    </cfRule>
  </conditionalFormatting>
  <conditionalFormatting sqref="C49">
    <cfRule type="cellIs" dxfId="28" priority="12" operator="equal">
      <formula>"Tidak dinilai"</formula>
    </cfRule>
  </conditionalFormatting>
  <conditionalFormatting sqref="C67">
    <cfRule type="cellIs" dxfId="27" priority="13" operator="equal">
      <formula>"Tidak dinilai"</formula>
    </cfRule>
  </conditionalFormatting>
  <conditionalFormatting sqref="C41">
    <cfRule type="cellIs" dxfId="26" priority="14" operator="equal">
      <formula>"Tidak dinilai"</formula>
    </cfRule>
  </conditionalFormatting>
  <conditionalFormatting sqref="C44">
    <cfRule type="cellIs" dxfId="25" priority="15" operator="equal">
      <formula>"Tidak dinilai"</formula>
    </cfRule>
  </conditionalFormatting>
  <conditionalFormatting sqref="C48">
    <cfRule type="cellIs" dxfId="24" priority="16" operator="equal">
      <formula>"Tidak dinilai"</formula>
    </cfRule>
  </conditionalFormatting>
  <conditionalFormatting sqref="C40">
    <cfRule type="cellIs" dxfId="23" priority="17" operator="equal">
      <formula>"Tidak dinilai"</formula>
    </cfRule>
  </conditionalFormatting>
  <conditionalFormatting sqref="G13:G87">
    <cfRule type="cellIs" dxfId="22" priority="18" operator="equal">
      <formula>"Tidak dinilai"</formula>
    </cfRule>
  </conditionalFormatting>
  <conditionalFormatting sqref="J24">
    <cfRule type="containsText" dxfId="21" priority="19" operator="containsText" text="TIDAK TERPENUHI">
      <formula>NOT(ISERROR(SEARCH("TIDAK TERPENUHI",J24)))</formula>
    </cfRule>
  </conditionalFormatting>
  <conditionalFormatting sqref="J24">
    <cfRule type="containsText" dxfId="20" priority="20" operator="containsText" text="TERPENUHI">
      <formula>NOT(ISERROR(SEARCH("TERPENUHI",J24)))</formula>
    </cfRule>
  </conditionalFormatting>
  <conditionalFormatting sqref="K8">
    <cfRule type="containsText" dxfId="19" priority="21" operator="containsText" text="TIDAK TERPENUHI">
      <formula>NOT(ISERROR(SEARCH("TIDAK TERPENUHI",K8)))</formula>
    </cfRule>
  </conditionalFormatting>
  <conditionalFormatting sqref="K8">
    <cfRule type="containsText" dxfId="18" priority="22" operator="containsText" text="TERPENUHI">
      <formula>NOT(ISERROR(SEARCH("TERPENUHI",K8)))</formula>
    </cfRule>
  </conditionalFormatting>
  <conditionalFormatting sqref="K9:K10">
    <cfRule type="containsText" dxfId="17" priority="23" operator="containsText" text="TIDAK TERPENUHI">
      <formula>NOT(ISERROR(SEARCH("TIDAK TERPENUHI",K9:K10)))</formula>
    </cfRule>
  </conditionalFormatting>
  <conditionalFormatting sqref="K9:K10">
    <cfRule type="containsText" dxfId="16" priority="24" operator="containsText" text="TERPENUHI">
      <formula>NOT(ISERROR(SEARCH("TERPENUHI",K9:K10)))</formula>
    </cfRule>
  </conditionalFormatting>
  <conditionalFormatting sqref="J29">
    <cfRule type="containsText" dxfId="15" priority="25" operator="containsText" text="TIDAK TERPENUHI">
      <formula>NOT(ISERROR(SEARCH("TIDAK TERPENUHI",J29)))</formula>
    </cfRule>
  </conditionalFormatting>
  <conditionalFormatting sqref="J29">
    <cfRule type="containsText" dxfId="14" priority="26" operator="containsText" text="TERPENUHI">
      <formula>NOT(ISERROR(SEARCH("TERPENUHI",J29)))</formula>
    </cfRule>
  </conditionalFormatting>
  <conditionalFormatting sqref="L30">
    <cfRule type="containsText" dxfId="13" priority="27" operator="containsText" text="TIDAK TERPENUHI">
      <formula>NOT(ISERROR(SEARCH("TIDAK TERPENUHI",L30)))</formula>
    </cfRule>
  </conditionalFormatting>
  <conditionalFormatting sqref="L30">
    <cfRule type="containsText" dxfId="12" priority="28" operator="containsText" text="TERPENUHI">
      <formula>NOT(ISERROR(SEARCH("TERPENUHI",L30)))</formula>
    </cfRule>
  </conditionalFormatting>
  <conditionalFormatting sqref="N30">
    <cfRule type="containsText" dxfId="11" priority="29" operator="containsText" text="TIDAK TERPENUHI">
      <formula>NOT(ISERROR(SEARCH("TIDAK TERPENUHI",N30)))</formula>
    </cfRule>
  </conditionalFormatting>
  <conditionalFormatting sqref="N30">
    <cfRule type="containsText" dxfId="10" priority="30" operator="containsText" text="TERPENUHI">
      <formula>NOT(ISERROR(SEARCH("TERPENUHI",N30)))</formula>
    </cfRule>
  </conditionalFormatting>
  <conditionalFormatting sqref="J53">
    <cfRule type="containsText" dxfId="9" priority="31" operator="containsText" text="TIDAK TERPENUHI">
      <formula>NOT(ISERROR(SEARCH("TIDAK TERPENUHI",J53)))</formula>
    </cfRule>
  </conditionalFormatting>
  <conditionalFormatting sqref="J53">
    <cfRule type="containsText" dxfId="8" priority="32" operator="containsText" text="TERPENUHI">
      <formula>NOT(ISERROR(SEARCH("TERPENUHI",J53)))</formula>
    </cfRule>
  </conditionalFormatting>
  <conditionalFormatting sqref="L32">
    <cfRule type="containsText" dxfId="7" priority="33" operator="containsText" text="TIDAK TERPENUHI">
      <formula>NOT(ISERROR(SEARCH("TIDAK TERPENUHI",L32)))</formula>
    </cfRule>
  </conditionalFormatting>
  <conditionalFormatting sqref="L32">
    <cfRule type="containsText" dxfId="6" priority="34" operator="containsText" text="TERPENUHI">
      <formula>NOT(ISERROR(SEARCH("TERPENUHI",L32)))</formula>
    </cfRule>
  </conditionalFormatting>
  <conditionalFormatting sqref="N32">
    <cfRule type="containsText" dxfId="5" priority="35" operator="containsText" text="TIDAK TERPENUHI">
      <formula>NOT(ISERROR(SEARCH("TIDAK TERPENUHI",N32)))</formula>
    </cfRule>
  </conditionalFormatting>
  <conditionalFormatting sqref="N32">
    <cfRule type="containsText" dxfId="4" priority="36" operator="containsText" text="TERPENUHI">
      <formula>NOT(ISERROR(SEARCH("TERPENUHI",N32)))</formula>
    </cfRule>
  </conditionalFormatting>
  <conditionalFormatting sqref="L76:L77">
    <cfRule type="containsText" dxfId="3" priority="37" operator="containsText" text="TIDAK TERPENUHI">
      <formula>NOT(ISERROR(SEARCH("TIDAK TERPENUHI",L76:L77)))</formula>
    </cfRule>
  </conditionalFormatting>
  <conditionalFormatting sqref="L76:L77">
    <cfRule type="containsText" dxfId="2" priority="38" operator="containsText" text="TERPENUHI">
      <formula>NOT(ISERROR(SEARCH("TERPENUHI",L76:L77)))</formula>
    </cfRule>
  </conditionalFormatting>
  <conditionalFormatting sqref="N76:N77">
    <cfRule type="containsText" dxfId="1" priority="39" operator="containsText" text="TIDAK TERPENUHI">
      <formula>NOT(ISERROR(SEARCH("TIDAK TERPENUHI",N76:N77)))</formula>
    </cfRule>
  </conditionalFormatting>
  <conditionalFormatting sqref="N76:N77">
    <cfRule type="containsText" dxfId="0" priority="40" operator="containsText" text="TERPENUHI">
      <formula>NOT(ISERROR(SEARCH("TERPENUHI",N76:N77)))</formula>
    </cfRule>
  </conditionalFormatting>
  <printOptions horizontalCentered="1"/>
  <pageMargins left="0.51181102362205" right="0.51181102362205" top="0.74803149606299002" bottom="0.51181102362205" header="0.31496062992126" footer="0.31496062992126"/>
  <pageSetup paperSize="9" fitToHeight="0" orientation="portrait"/>
  <headerFooter>
    <oddFooter>&amp;LForm AK - &amp;D@&amp;T&amp;CAkreditasi Program Studi&amp;R&amp;P/&amp;N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Menu</vt:lpstr>
      <vt:lpstr>Kertas Kerja</vt:lpstr>
      <vt:lpstr>Lap AK Individual</vt:lpstr>
      <vt:lpstr>'Lap AK Individual'!Print_Area</vt:lpstr>
      <vt:lpstr>'Lap AK Individual'!Print_Titles</vt:lpstr>
    </vt:vector>
  </TitlesOfParts>
  <Manager/>
  <Company>NTU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Radon Dhelika</dc:creator>
  <cp:keywords/>
  <dc:description/>
  <cp:lastModifiedBy>asus</cp:lastModifiedBy>
  <dcterms:created xsi:type="dcterms:W3CDTF">2009-07-06T01:37:37Z</dcterms:created>
  <dcterms:modified xsi:type="dcterms:W3CDTF">2022-10-03T05:16:11Z</dcterms:modified>
  <cp:category/>
</cp:coreProperties>
</file>